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3bsupplycom-my.sharepoint.com/personal/randy_kimberlin_securastock_com/Documents/SecuraStock Data/ROI Calculator/"/>
    </mc:Choice>
  </mc:AlternateContent>
  <xr:revisionPtr revIDLastSave="8" documentId="8_{CD60A1D8-11B4-441A-8E28-5C2F4B78DDBF}" xr6:coauthVersionLast="47" xr6:coauthVersionMax="47" xr10:uidLastSave="{A943C2B6-D1C8-4F37-922E-748FCADCEA42}"/>
  <workbookProtection workbookAlgorithmName="SHA-512" workbookHashValue="rjxcEeLTIpOILhPF3HDVnZfLoU9FRI8Oa9/M0pSKpHIylIyRFtSzbsQ/civYsYj1NFdhmrTi+YHznDcnSI+ejQ==" workbookSaltValue="ARIvLyK7MAAi5dteU/nAow==" workbookSpinCount="100000" lockStructure="1"/>
  <bookViews>
    <workbookView xWindow="-120" yWindow="-120" windowWidth="29040" windowHeight="15720" tabRatio="758" firstSheet="1" activeTab="1" xr2:uid="{00000000-000D-0000-FFFF-FFFF00000000}"/>
  </bookViews>
  <sheets>
    <sheet name="Sheet1" sheetId="15" state="hidden" r:id="rId1"/>
    <sheet name="ROI Calc" sheetId="20" r:id="rId2"/>
    <sheet name="Corporate Benefits" sheetId="27" state="hidden" r:id="rId3"/>
    <sheet name="Cost Comparison By Product Type" sheetId="26" r:id="rId4"/>
    <sheet name="Payoff " sheetId="24" state="hidden" r:id="rId5"/>
    <sheet name="Sheet4" sheetId="23" state="hidden" r:id="rId6"/>
    <sheet name="Industry Related Tables" sheetId="18" state="hidden" r:id="rId7"/>
    <sheet name="Lookup" sheetId="17" state="hidden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7" l="1"/>
  <c r="F10" i="27"/>
  <c r="F5" i="27"/>
  <c r="F4" i="27"/>
  <c r="F3" i="27"/>
  <c r="F11" i="27" s="1"/>
  <c r="D5" i="26"/>
  <c r="B5" i="26"/>
  <c r="F13" i="20"/>
  <c r="H13" i="20" s="1"/>
  <c r="G13" i="20" s="1"/>
  <c r="F12" i="20"/>
  <c r="F11" i="20"/>
  <c r="F9" i="27" l="1"/>
  <c r="F8" i="27"/>
  <c r="F14" i="20"/>
  <c r="H11" i="20" l="1"/>
  <c r="H7" i="20"/>
  <c r="G7" i="20" s="1"/>
  <c r="H6" i="20"/>
  <c r="G6" i="20" s="1"/>
  <c r="I25" i="18"/>
  <c r="I20" i="18"/>
  <c r="I14" i="18"/>
  <c r="I7" i="18"/>
  <c r="C4" i="18"/>
  <c r="C5" i="18"/>
  <c r="C6" i="18"/>
  <c r="C11" i="18"/>
  <c r="C12" i="18"/>
  <c r="C13" i="18"/>
  <c r="C18" i="18"/>
  <c r="C19" i="18"/>
  <c r="C24" i="18"/>
  <c r="C3" i="18"/>
  <c r="J4" i="18"/>
  <c r="D4" i="18" s="1"/>
  <c r="J5" i="18"/>
  <c r="D5" i="18" s="1"/>
  <c r="J6" i="18"/>
  <c r="D6" i="18" s="1"/>
  <c r="J11" i="18"/>
  <c r="D11" i="18" s="1"/>
  <c r="J12" i="18"/>
  <c r="D12" i="18" s="1"/>
  <c r="J13" i="18"/>
  <c r="D13" i="18" s="1"/>
  <c r="J18" i="18"/>
  <c r="D18" i="18" s="1"/>
  <c r="J19" i="18"/>
  <c r="D19" i="18" s="1"/>
  <c r="J24" i="18"/>
  <c r="D24" i="18" s="1"/>
  <c r="J3" i="18"/>
  <c r="D3" i="18" s="1"/>
  <c r="B20" i="18"/>
  <c r="B25" i="18"/>
  <c r="B14" i="18"/>
  <c r="C14" i="18" s="1"/>
  <c r="B7" i="18"/>
  <c r="F4" i="18"/>
  <c r="F5" i="18"/>
  <c r="F6" i="18"/>
  <c r="F11" i="18"/>
  <c r="F12" i="18"/>
  <c r="F13" i="18"/>
  <c r="F18" i="18"/>
  <c r="F19" i="18"/>
  <c r="F24" i="18"/>
  <c r="F25" i="18" s="1"/>
  <c r="F3" i="18"/>
  <c r="G3" i="18" s="1"/>
  <c r="G8" i="20" l="1"/>
  <c r="H8" i="20" s="1"/>
  <c r="G11" i="20"/>
  <c r="G5" i="20"/>
  <c r="H6" i="18"/>
  <c r="C25" i="18"/>
  <c r="C20" i="18"/>
  <c r="J20" i="18"/>
  <c r="D20" i="18" s="1"/>
  <c r="J7" i="18"/>
  <c r="D7" i="18" s="1"/>
  <c r="D25" i="18"/>
  <c r="C7" i="18"/>
  <c r="G25" i="18"/>
  <c r="J14" i="18"/>
  <c r="D14" i="18" s="1"/>
  <c r="J25" i="18"/>
  <c r="H25" i="18" s="1"/>
  <c r="H13" i="18"/>
  <c r="H5" i="18"/>
  <c r="H12" i="18"/>
  <c r="H4" i="18"/>
  <c r="G13" i="18"/>
  <c r="H19" i="18"/>
  <c r="H11" i="18"/>
  <c r="G4" i="18"/>
  <c r="F20" i="18"/>
  <c r="H3" i="18"/>
  <c r="G24" i="18"/>
  <c r="G19" i="18"/>
  <c r="G12" i="18"/>
  <c r="G5" i="18"/>
  <c r="H24" i="18"/>
  <c r="G18" i="18"/>
  <c r="G11" i="18"/>
  <c r="G6" i="18"/>
  <c r="H18" i="18"/>
  <c r="F14" i="18"/>
  <c r="B26" i="18"/>
  <c r="I26" i="18" s="1"/>
  <c r="F7" i="18"/>
  <c r="C14" i="15"/>
  <c r="B14" i="15"/>
  <c r="B13" i="15"/>
  <c r="C13" i="15"/>
  <c r="C12" i="15"/>
  <c r="B12" i="15"/>
  <c r="C11" i="15"/>
  <c r="B10" i="15"/>
  <c r="B7" i="15"/>
  <c r="B16" i="15" s="1"/>
  <c r="C10" i="15"/>
  <c r="B1" i="15"/>
  <c r="G12" i="20" l="1"/>
  <c r="H12" i="20" s="1"/>
  <c r="H5" i="20"/>
  <c r="G14" i="20"/>
  <c r="C26" i="18"/>
  <c r="D26" i="18"/>
  <c r="H7" i="18"/>
  <c r="G7" i="18"/>
  <c r="H20" i="18"/>
  <c r="G20" i="18"/>
  <c r="H14" i="18"/>
  <c r="G14" i="18"/>
  <c r="F26" i="18"/>
  <c r="J26" i="18" s="1"/>
  <c r="B11" i="15"/>
  <c r="B15" i="15"/>
  <c r="H14" i="20" l="1"/>
  <c r="A3" i="24" s="1"/>
  <c r="A2" i="24" s="1"/>
  <c r="F2" i="24" s="1"/>
  <c r="G26" i="18"/>
  <c r="H26" i="18"/>
  <c r="F3" i="24" l="1"/>
  <c r="F4" i="24" s="1"/>
  <c r="F5" i="24" s="1"/>
  <c r="F6" i="24" s="1"/>
  <c r="F7" i="24" s="1"/>
  <c r="F8" i="24" s="1"/>
  <c r="F9" i="24" s="1"/>
  <c r="F10" i="24" s="1"/>
  <c r="F11" i="24" s="1"/>
  <c r="F12" i="24" s="1"/>
  <c r="F13" i="24" s="1"/>
  <c r="F14" i="24" s="1"/>
  <c r="F15" i="24" s="1"/>
  <c r="F16" i="24" s="1"/>
  <c r="F17" i="24" s="1"/>
  <c r="F18" i="24" s="1"/>
  <c r="F19" i="24" s="1"/>
  <c r="F20" i="24" s="1"/>
  <c r="F21" i="24" s="1"/>
  <c r="F22" i="24" s="1"/>
  <c r="F23" i="24" s="1"/>
  <c r="F24" i="24" s="1"/>
  <c r="F25" i="24" s="1"/>
  <c r="F26" i="24" s="1"/>
  <c r="F27" i="24" s="1"/>
  <c r="F28" i="24" s="1"/>
  <c r="F29" i="24" s="1"/>
  <c r="F30" i="24" s="1"/>
  <c r="F31" i="24" s="1"/>
  <c r="F32" i="24" s="1"/>
  <c r="F33" i="24" s="1"/>
  <c r="F34" i="24" s="1"/>
  <c r="F35" i="24" s="1"/>
  <c r="F36" i="24" s="1"/>
  <c r="F37" i="24" s="1"/>
  <c r="F38" i="24" s="1"/>
  <c r="C2" i="24"/>
  <c r="F39" i="24" l="1"/>
  <c r="F40" i="24" s="1"/>
  <c r="F41" i="24" s="1"/>
  <c r="F42" i="24" s="1"/>
  <c r="F43" i="24" s="1"/>
  <c r="F44" i="24" s="1"/>
  <c r="F45" i="24" s="1"/>
  <c r="F46" i="24" s="1"/>
  <c r="F47" i="24" s="1"/>
  <c r="F48" i="24" s="1"/>
  <c r="F49" i="24" s="1"/>
  <c r="F50" i="24" s="1"/>
  <c r="F51" i="24" s="1"/>
  <c r="F52" i="24" s="1"/>
  <c r="F53" i="24" s="1"/>
  <c r="F54" i="24" s="1"/>
  <c r="F55" i="24" s="1"/>
  <c r="F56" i="24" s="1"/>
  <c r="F57" i="24" s="1"/>
  <c r="F58" i="24" s="1"/>
  <c r="F59" i="24" s="1"/>
  <c r="F60" i="24" s="1"/>
  <c r="F61" i="24" s="1"/>
  <c r="F62" i="24" s="1"/>
  <c r="F63" i="24" s="1"/>
  <c r="F64" i="24" s="1"/>
  <c r="F65" i="24" s="1"/>
  <c r="F66" i="24" s="1"/>
  <c r="F67" i="24" s="1"/>
  <c r="F68" i="24" s="1"/>
  <c r="F69" i="24" s="1"/>
  <c r="F70" i="24" s="1"/>
  <c r="F71" i="24" s="1"/>
  <c r="F72" i="24" s="1"/>
  <c r="F73" i="24" s="1"/>
  <c r="F74" i="24" s="1"/>
  <c r="F75" i="24" s="1"/>
  <c r="F76" i="24" s="1"/>
  <c r="F77" i="24" s="1"/>
  <c r="F78" i="24" s="1"/>
  <c r="F79" i="24" s="1"/>
  <c r="F80" i="24" s="1"/>
  <c r="F81" i="24" s="1"/>
  <c r="F82" i="24" s="1"/>
  <c r="F83" i="24" s="1"/>
  <c r="F84" i="24" s="1"/>
  <c r="F85" i="24" s="1"/>
  <c r="F86" i="24" s="1"/>
  <c r="F87" i="24" s="1"/>
  <c r="F88" i="24" s="1"/>
  <c r="F89" i="24" s="1"/>
  <c r="F90" i="24" s="1"/>
  <c r="F91" i="24" s="1"/>
  <c r="F92" i="24" s="1"/>
  <c r="F93" i="24" s="1"/>
  <c r="F94" i="24" s="1"/>
  <c r="F95" i="24" s="1"/>
  <c r="F96" i="24" s="1"/>
  <c r="F97" i="24" s="1"/>
  <c r="F98" i="24" s="1"/>
  <c r="F99" i="24" s="1"/>
  <c r="F100" i="24" s="1"/>
  <c r="F101" i="24" s="1"/>
  <c r="F102" i="24" s="1"/>
  <c r="F103" i="24" s="1"/>
  <c r="F104" i="24" s="1"/>
  <c r="F105" i="24" s="1"/>
  <c r="F106" i="24" s="1"/>
  <c r="F107" i="24" s="1"/>
  <c r="F108" i="24" s="1"/>
  <c r="F109" i="24" s="1"/>
  <c r="F110" i="24" s="1"/>
  <c r="F111" i="24" s="1"/>
  <c r="F112" i="24" s="1"/>
  <c r="F113" i="24" s="1"/>
  <c r="F114" i="24" s="1"/>
  <c r="F115" i="24" s="1"/>
  <c r="F116" i="24" s="1"/>
  <c r="F117" i="24" s="1"/>
  <c r="F118" i="24" s="1"/>
  <c r="F119" i="24" s="1"/>
  <c r="C3" i="24"/>
  <c r="C4" i="24" s="1"/>
  <c r="C5" i="24" s="1"/>
  <c r="C6" i="24" s="1"/>
  <c r="C7" i="24" s="1"/>
  <c r="C8" i="24" s="1"/>
  <c r="C9" i="24" s="1"/>
  <c r="C10" i="24" s="1"/>
  <c r="F120" i="24" l="1"/>
  <c r="F121" i="24" s="1"/>
  <c r="C11" i="24"/>
  <c r="C12" i="24" s="1"/>
  <c r="C13" i="24" s="1"/>
  <c r="C14" i="24" s="1"/>
  <c r="C15" i="24" s="1"/>
  <c r="C16" i="24" s="1"/>
  <c r="C17" i="24" s="1"/>
  <c r="C18" i="24" s="1"/>
  <c r="C19" i="24" s="1"/>
  <c r="C20" i="24" l="1"/>
  <c r="C21" i="24" s="1"/>
  <c r="C22" i="24" s="1"/>
  <c r="C23" i="24" s="1"/>
  <c r="C24" i="24" s="1"/>
  <c r="C25" i="24" s="1"/>
  <c r="C26" i="24" s="1"/>
  <c r="C27" i="24" s="1"/>
  <c r="C28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l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K7" i="20"/>
  <c r="E18" i="24" s="1"/>
  <c r="E31" i="24" l="1"/>
  <c r="E112" i="24"/>
  <c r="E73" i="24"/>
  <c r="E94" i="24"/>
  <c r="E104" i="24"/>
  <c r="E29" i="24"/>
  <c r="E96" i="24"/>
  <c r="E72" i="24"/>
  <c r="E71" i="24"/>
  <c r="E38" i="24"/>
  <c r="E95" i="24"/>
  <c r="E115" i="24"/>
  <c r="E92" i="24"/>
  <c r="E69" i="24"/>
  <c r="E66" i="24"/>
  <c r="E87" i="24"/>
  <c r="E42" i="24"/>
  <c r="E85" i="24"/>
  <c r="E86" i="24"/>
  <c r="E2" i="24"/>
  <c r="E25" i="24"/>
  <c r="E84" i="24"/>
  <c r="E15" i="24"/>
  <c r="E82" i="24"/>
  <c r="E3" i="24"/>
  <c r="E20" i="24"/>
  <c r="E59" i="24"/>
  <c r="E9" i="24"/>
  <c r="E93" i="24"/>
  <c r="E48" i="24"/>
  <c r="E102" i="24"/>
  <c r="E4" i="24"/>
  <c r="E68" i="24"/>
  <c r="E58" i="24"/>
  <c r="E33" i="24"/>
  <c r="E28" i="24"/>
  <c r="E108" i="24"/>
  <c r="E101" i="24"/>
  <c r="E35" i="24"/>
  <c r="E64" i="24"/>
  <c r="E57" i="24"/>
  <c r="E32" i="24"/>
  <c r="E63" i="24"/>
  <c r="E55" i="24"/>
  <c r="E91" i="24"/>
  <c r="E8" i="24"/>
  <c r="E106" i="24"/>
  <c r="E54" i="24"/>
  <c r="E10" i="24"/>
  <c r="E40" i="24"/>
  <c r="E19" i="24"/>
  <c r="E61" i="24"/>
  <c r="E17" i="24"/>
  <c r="E60" i="24"/>
  <c r="E99" i="24"/>
  <c r="E51" i="24"/>
  <c r="E103" i="24"/>
  <c r="E77" i="24"/>
  <c r="E16" i="24"/>
  <c r="E44" i="24"/>
  <c r="E80" i="24"/>
  <c r="E120" i="24"/>
  <c r="E13" i="24"/>
  <c r="E52" i="24"/>
  <c r="E100" i="24"/>
  <c r="E50" i="24"/>
  <c r="E23" i="24"/>
  <c r="E121" i="24"/>
  <c r="E49" i="24"/>
  <c r="E113" i="24"/>
  <c r="E117" i="24"/>
  <c r="E24" i="24"/>
  <c r="E110" i="24"/>
  <c r="E90" i="24"/>
  <c r="E70" i="24"/>
  <c r="E27" i="24"/>
  <c r="E109" i="24"/>
  <c r="E111" i="24"/>
  <c r="E46" i="24"/>
  <c r="E34" i="24"/>
  <c r="E65" i="24"/>
  <c r="E45" i="24"/>
  <c r="E98" i="24"/>
  <c r="E6" i="24"/>
  <c r="E22" i="24"/>
  <c r="E107" i="24"/>
  <c r="E43" i="24"/>
  <c r="E21" i="24"/>
  <c r="E5" i="24"/>
  <c r="E114" i="24"/>
  <c r="E79" i="24"/>
  <c r="E41" i="24"/>
  <c r="E76" i="24"/>
  <c r="E14" i="24"/>
  <c r="E30" i="24"/>
  <c r="E47" i="24"/>
  <c r="E78" i="24"/>
  <c r="E62" i="24"/>
  <c r="E97" i="24"/>
  <c r="E56" i="24"/>
  <c r="E105" i="24"/>
  <c r="E75" i="24"/>
  <c r="E12" i="24"/>
  <c r="E7" i="24"/>
  <c r="E89" i="24"/>
  <c r="E118" i="24"/>
  <c r="E83" i="24"/>
  <c r="E53" i="24"/>
  <c r="E11" i="24"/>
  <c r="E37" i="24"/>
  <c r="E67" i="24"/>
  <c r="E74" i="24"/>
  <c r="E39" i="24"/>
  <c r="E119" i="24"/>
  <c r="E36" i="24"/>
  <c r="E26" i="24"/>
  <c r="E88" i="24"/>
  <c r="E116" i="24"/>
  <c r="E81" i="24"/>
</calcChain>
</file>

<file path=xl/sharedStrings.xml><?xml version="1.0" encoding="utf-8"?>
<sst xmlns="http://schemas.openxmlformats.org/spreadsheetml/2006/main" count="218" uniqueCount="149">
  <si>
    <t>How Many Hours Per Week Does the End User Operate</t>
  </si>
  <si>
    <t>How Many Employees Does The End User Have</t>
  </si>
  <si>
    <t>What is the Approximate Annual Revenue of the End User</t>
  </si>
  <si>
    <t>Number Of Crib Attendants At the End User</t>
  </si>
  <si>
    <t>Total Hours Per Week Each Crib Attendant is Present</t>
  </si>
  <si>
    <t>Poential Cost Savings To The End User in Overstocking Reduction</t>
  </si>
  <si>
    <t>Potential Cost Savings to the End User by Preventing Stock Outs</t>
  </si>
  <si>
    <t>Includes Expediting, Loss of Business, Also Reputational Impact</t>
  </si>
  <si>
    <t>Includes Waste, Expired Materials, Obsolescence and Scrap</t>
  </si>
  <si>
    <t>Potential Savings If they Move Remaining Inventory to You</t>
  </si>
  <si>
    <t>Savings Based On Your Current  Share at the Customer</t>
  </si>
  <si>
    <t>Potential Market Share Increase At this End User</t>
  </si>
  <si>
    <t>Potential Revenue Increase at 25% Margin</t>
  </si>
  <si>
    <t>Inventory Dollars Available At Customer</t>
  </si>
  <si>
    <t>Percentage of Inventory Dollars You are Currently Managing</t>
  </si>
  <si>
    <t>Potential Indirect Manhours Saved</t>
  </si>
  <si>
    <t>Potential Direct Inventory Manhours Saved</t>
  </si>
  <si>
    <t>Includes Costs from People Directly Tasked with Managing Crib Inventory</t>
  </si>
  <si>
    <t>Impact from People Waiting, Filing Out Requisitions and Excessive Crib Visits</t>
  </si>
  <si>
    <t>Total Potential Impact to Customer</t>
  </si>
  <si>
    <t>Coil Machine (Candy Bar Style)</t>
  </si>
  <si>
    <t>Carousel (Sandwhich / Food Style)</t>
  </si>
  <si>
    <t>Lockers</t>
  </si>
  <si>
    <t>Crib (Qty = # of SKU's Managed)</t>
  </si>
  <si>
    <t>YES</t>
  </si>
  <si>
    <t>NO</t>
  </si>
  <si>
    <t>Total Increased Costs Impact</t>
  </si>
  <si>
    <t>Total Lost Revenue Impact</t>
  </si>
  <si>
    <t>Total Reporting Impact</t>
  </si>
  <si>
    <t>Increased Costs</t>
  </si>
  <si>
    <t>Holding And Carrying Costs</t>
  </si>
  <si>
    <t>Operational Costs</t>
  </si>
  <si>
    <t>Shrinkage And Damage</t>
  </si>
  <si>
    <t>Expedited Shipping And Rushed Orders</t>
  </si>
  <si>
    <t>Lost Revenue And Diminished Profits</t>
  </si>
  <si>
    <t>Stockouts And Lost Sales</t>
  </si>
  <si>
    <t>Obsolete Inventory</t>
  </si>
  <si>
    <t>Customer Dissatisfaction And Churn</t>
  </si>
  <si>
    <t>Inaccurate Financial Reporting And Poor Decision-Making</t>
  </si>
  <si>
    <t>Distorted Financial Statements</t>
  </si>
  <si>
    <t>Impaired Decision-Making</t>
  </si>
  <si>
    <t>Reduced Cash Flow</t>
  </si>
  <si>
    <t>Tied-Up Capital: Excess Inventory</t>
  </si>
  <si>
    <t>Total Impact Of  Reduced Cash Flow</t>
  </si>
  <si>
    <t>Total Impact Of Mismanaged Inventory</t>
  </si>
  <si>
    <t>Impact To Distributor</t>
  </si>
  <si>
    <t>Impact To End User</t>
  </si>
  <si>
    <t>NO Existing VMI</t>
  </si>
  <si>
    <t>Competitor VMI In Plance</t>
  </si>
  <si>
    <t>impact to Gross Profit</t>
  </si>
  <si>
    <t>Distributor %</t>
  </si>
  <si>
    <t>End User %</t>
  </si>
  <si>
    <t>Inventory Managed</t>
  </si>
  <si>
    <t>End User Gross Profit $</t>
  </si>
  <si>
    <t>Dist Gross Profit %</t>
  </si>
  <si>
    <t>Impact To Dist</t>
  </si>
  <si>
    <t>VMI Not In Place</t>
  </si>
  <si>
    <t>VMI in Place</t>
  </si>
  <si>
    <t>Average Salary</t>
  </si>
  <si>
    <t>Remote</t>
  </si>
  <si>
    <t>Local</t>
  </si>
  <si>
    <t>How many SKUs are you currently managing</t>
  </si>
  <si>
    <t>Current average number of accounts per rep</t>
  </si>
  <si>
    <t>Number of accounts added</t>
  </si>
  <si>
    <t>Shift from bin fillers to sales people</t>
  </si>
  <si>
    <t>Vending - Competitor</t>
  </si>
  <si>
    <t>VMI - Competitor</t>
  </si>
  <si>
    <t>Veding - SecuraStock</t>
  </si>
  <si>
    <t>VMI - SecuraStock</t>
  </si>
  <si>
    <t>(Full Suite of Functionality)</t>
  </si>
  <si>
    <t xml:space="preserve">     </t>
  </si>
  <si>
    <t>Unlimited Users</t>
  </si>
  <si>
    <t>Pay By User</t>
  </si>
  <si>
    <t>Limited Security</t>
  </si>
  <si>
    <t>No Smart Bins</t>
  </si>
  <si>
    <t>Smart Bins Included</t>
  </si>
  <si>
    <t>1-2 Year Warranty</t>
  </si>
  <si>
    <t xml:space="preserve">3 Year Warranty </t>
  </si>
  <si>
    <t>Extended Warranty Available</t>
  </si>
  <si>
    <t>Almost No Moving Parts</t>
  </si>
  <si>
    <t>Lots of Moving Parts</t>
  </si>
  <si>
    <t>Software Contracted Out</t>
  </si>
  <si>
    <t>We Own the Software</t>
  </si>
  <si>
    <t>Full Security (Video)</t>
  </si>
  <si>
    <t>Long Vending Time</t>
  </si>
  <si>
    <t>Super Fast Vending Time</t>
  </si>
  <si>
    <t>No Custom Software Function</t>
  </si>
  <si>
    <t>Fully Customizable Software</t>
  </si>
  <si>
    <t>Same Software On All Solututions</t>
  </si>
  <si>
    <t>No Remote Site Options</t>
  </si>
  <si>
    <t>What is your current average gross profit (GP) %</t>
  </si>
  <si>
    <t>VMI Software is Different From Vending</t>
  </si>
  <si>
    <t>Full Security With Video</t>
  </si>
  <si>
    <t>Smart Bin Integration</t>
  </si>
  <si>
    <t>3 Year Warranty</t>
  </si>
  <si>
    <t>Limited Moving Parts</t>
  </si>
  <si>
    <t>Software Done In-House</t>
  </si>
  <si>
    <t>Software Customizable</t>
  </si>
  <si>
    <t>Fast Time to Vend</t>
  </si>
  <si>
    <t>Remote Site Options</t>
  </si>
  <si>
    <t>Secura Stock</t>
  </si>
  <si>
    <t>Others</t>
  </si>
  <si>
    <t>Customizable Reporting</t>
  </si>
  <si>
    <t>X</t>
  </si>
  <si>
    <t>Additional Revenue From Other Existing Accounts if Inv Mgmt Applied</t>
  </si>
  <si>
    <t>Total Monthly Potential Revenue Increase</t>
  </si>
  <si>
    <t>Spend</t>
  </si>
  <si>
    <t>MS</t>
  </si>
  <si>
    <t>GP</t>
  </si>
  <si>
    <t>ALV</t>
  </si>
  <si>
    <t>Time</t>
  </si>
  <si>
    <t>Sellers</t>
  </si>
  <si>
    <t>Profit From Additional Accounts</t>
  </si>
  <si>
    <t>Potential Revenue From Additional Accounts</t>
  </si>
  <si>
    <t>(This Section Assumes Adding Accounts of Similar Size)</t>
  </si>
  <si>
    <t>Reduction in Monthly time spent replenishing (more time selling)</t>
  </si>
  <si>
    <t>Estimated Monthly Revenue All Accounts (Prior to Inventory Mgmt)</t>
  </si>
  <si>
    <t>How much of the total spend are you currently managing? (In Dollars)</t>
  </si>
  <si>
    <t>Click Here for Tip</t>
  </si>
  <si>
    <t xml:space="preserve">Click Here for Tip </t>
  </si>
  <si>
    <t>No Extended Warranty Available</t>
  </si>
  <si>
    <t>Fully Cloud Based</t>
  </si>
  <si>
    <t>Enter Project Cost</t>
  </si>
  <si>
    <t>Number of Months to Pay Off</t>
  </si>
  <si>
    <t>GP / Month</t>
  </si>
  <si>
    <t>Month</t>
  </si>
  <si>
    <t>Additional GP</t>
  </si>
  <si>
    <t>Totals</t>
  </si>
  <si>
    <t>Payback</t>
  </si>
  <si>
    <t>What is your Current Average Line Value per Month</t>
  </si>
  <si>
    <t>Click  Here For Tip</t>
  </si>
  <si>
    <t>Average Cost Per SKU</t>
  </si>
  <si>
    <t>Average Number of Lines Processed Each Month</t>
  </si>
  <si>
    <t>Cost Comparison for Vending and VMI Below</t>
  </si>
  <si>
    <t>Compare Our Vending and VMI for Cost and See Payback Based on Project Cost Below</t>
  </si>
  <si>
    <t>USER INPUT</t>
  </si>
  <si>
    <t>Current State</t>
  </si>
  <si>
    <t>After Inventory Management</t>
  </si>
  <si>
    <t>Increase</t>
  </si>
  <si>
    <t>NA</t>
  </si>
  <si>
    <r>
      <t xml:space="preserve">What is the total </t>
    </r>
    <r>
      <rPr>
        <b/>
        <sz val="12"/>
        <color theme="8" tint="-0.499984740745262"/>
        <rFont val="Arial"/>
        <family val="2"/>
      </rPr>
      <t>MONTHLY</t>
    </r>
    <r>
      <rPr>
        <sz val="12"/>
        <color theme="1"/>
        <rFont val="Arial"/>
        <family val="2"/>
      </rPr>
      <t xml:space="preserve"> spend on inventory by the target customer? </t>
    </r>
  </si>
  <si>
    <r>
      <t xml:space="preserve">Current time in </t>
    </r>
    <r>
      <rPr>
        <b/>
        <sz val="12"/>
        <color theme="8" tint="-0.499984740745262"/>
        <rFont val="Arial"/>
        <family val="2"/>
      </rPr>
      <t>HOURS</t>
    </r>
    <r>
      <rPr>
        <sz val="12"/>
        <color theme="1"/>
        <rFont val="Arial"/>
        <family val="2"/>
      </rPr>
      <t xml:space="preserve"> spent customer location </t>
    </r>
    <r>
      <rPr>
        <b/>
        <sz val="12"/>
        <color theme="8" tint="-0.499984740745262"/>
        <rFont val="Arial"/>
        <family val="2"/>
      </rPr>
      <t>MONTHLY</t>
    </r>
  </si>
  <si>
    <r>
      <t xml:space="preserve">Section 5:  </t>
    </r>
    <r>
      <rPr>
        <b/>
        <sz val="12"/>
        <color theme="1"/>
        <rFont val="Arial"/>
        <family val="2"/>
      </rPr>
      <t>Calculated Fields</t>
    </r>
    <r>
      <rPr>
        <sz val="12"/>
        <color theme="1"/>
        <rFont val="Arial"/>
        <family val="2"/>
      </rPr>
      <t>:  Additional Benefit from Existing and New Accounts</t>
    </r>
  </si>
  <si>
    <r>
      <t xml:space="preserve">Section 1: </t>
    </r>
    <r>
      <rPr>
        <b/>
        <sz val="14"/>
        <color theme="1"/>
        <rFont val="Arial"/>
        <family val="2"/>
      </rPr>
      <t xml:space="preserve"> USER INPUT</t>
    </r>
    <r>
      <rPr>
        <sz val="14"/>
        <color theme="1"/>
        <rFont val="Arial"/>
        <family val="2"/>
      </rPr>
      <t>:  Target Account Information</t>
    </r>
  </si>
  <si>
    <r>
      <t xml:space="preserve">Section 2: </t>
    </r>
    <r>
      <rPr>
        <b/>
        <sz val="14"/>
        <color theme="1"/>
        <rFont val="Arial"/>
        <family val="2"/>
      </rPr>
      <t>Caclulated Fields</t>
    </r>
    <r>
      <rPr>
        <sz val="14"/>
        <color theme="1"/>
        <rFont val="Arial"/>
        <family val="2"/>
      </rPr>
      <t>:  Target Account Key Metrics - Current State</t>
    </r>
  </si>
  <si>
    <r>
      <rPr>
        <b/>
        <sz val="12"/>
        <rFont val="Arial"/>
        <family val="2"/>
      </rPr>
      <t>PROJECT PAYBACK CALCULATOR</t>
    </r>
    <r>
      <rPr>
        <sz val="12"/>
        <rFont val="Arial"/>
        <family val="2"/>
      </rPr>
      <t xml:space="preserve">
</t>
    </r>
    <r>
      <rPr>
        <sz val="10"/>
        <rFont val="Arial"/>
        <family val="2"/>
      </rPr>
      <t>(INPUT PROJECT COST AND SEE PAYBACK BASED 
ON CURRENT CUSTOMER ANALSIS ON LEFT)</t>
    </r>
  </si>
  <si>
    <t>(Payback Based on Profit Dollars)</t>
  </si>
  <si>
    <t>Your Monthly Gross Profit Dollars</t>
  </si>
  <si>
    <t>Your Market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</si>
</sst>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&quot;$&quot;#,##0"/>
    <numFmt numFmtId="166" formatCode="0.0%"/>
    <numFmt numFmtId="167" formatCode="0.000%"/>
    <numFmt numFmtId="168" formatCode="0.0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1D35"/>
      <name val="Calibri"/>
      <family val="2"/>
    </font>
    <font>
      <b/>
      <sz val="12"/>
      <color rgb="FF001D35"/>
      <name val="Calibri"/>
      <family val="2"/>
    </font>
    <font>
      <sz val="12"/>
      <color theme="1"/>
      <name val="Calibri"/>
      <family val="2"/>
    </font>
    <font>
      <b/>
      <sz val="11"/>
      <color theme="7" tint="-0.249977111117893"/>
      <name val="Calibri"/>
      <family val="2"/>
      <scheme val="minor"/>
    </font>
    <font>
      <b/>
      <sz val="20"/>
      <color rgb="FF001D35"/>
      <name val="Calibri"/>
      <family val="2"/>
    </font>
    <font>
      <b/>
      <sz val="14"/>
      <color rgb="FF001D35"/>
      <name val="Calibri"/>
      <family val="2"/>
    </font>
    <font>
      <b/>
      <sz val="14"/>
      <color theme="1"/>
      <name val="Calibri"/>
      <family val="2"/>
    </font>
    <font>
      <b/>
      <sz val="18"/>
      <color rgb="FF001D35"/>
      <name val="Calibri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9" tint="-0.499984740745262"/>
      <name val="Arial"/>
      <family val="2"/>
    </font>
    <font>
      <b/>
      <sz val="12"/>
      <color theme="8" tint="-0.499984740745262"/>
      <name val="Arial"/>
      <family val="2"/>
    </font>
    <font>
      <b/>
      <sz val="12"/>
      <color theme="6" tint="-0.49998474074526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b/>
      <sz val="12"/>
      <color theme="0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medium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medium">
        <color theme="6" tint="-0.499984740745262"/>
      </bottom>
      <diagonal/>
    </border>
    <border>
      <left/>
      <right/>
      <top style="thin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 style="medium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6" tint="-0.499984740745262"/>
      </left>
      <right/>
      <top style="medium">
        <color indexed="64"/>
      </top>
      <bottom style="thin">
        <color theme="6" tint="-0.499984740745262"/>
      </bottom>
      <diagonal/>
    </border>
    <border>
      <left/>
      <right/>
      <top style="medium">
        <color indexed="64"/>
      </top>
      <bottom style="thin">
        <color theme="6" tint="-0.499984740745262"/>
      </bottom>
      <diagonal/>
    </border>
    <border>
      <left/>
      <right style="medium">
        <color theme="6" tint="-0.499984740745262"/>
      </right>
      <top style="medium">
        <color indexed="64"/>
      </top>
      <bottom style="thin">
        <color theme="6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3" xfId="0" applyFill="1" applyBorder="1" applyAlignment="1">
      <alignment vertical="center"/>
    </xf>
    <xf numFmtId="165" fontId="0" fillId="3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165" fontId="0" fillId="4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6" fontId="0" fillId="0" borderId="0" xfId="1" applyNumberFormat="1" applyFon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0" fontId="0" fillId="0" borderId="0" xfId="0" applyNumberFormat="1" applyAlignment="1">
      <alignment horizontal="left" vertical="center"/>
    </xf>
    <xf numFmtId="167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66" fontId="3" fillId="2" borderId="3" xfId="1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7" fontId="3" fillId="2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166" fontId="0" fillId="0" borderId="3" xfId="1" applyNumberFormat="1" applyFont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166" fontId="3" fillId="0" borderId="7" xfId="1" applyNumberFormat="1" applyFont="1" applyFill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10" fontId="3" fillId="0" borderId="0" xfId="1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6" fontId="3" fillId="4" borderId="3" xfId="1" applyNumberFormat="1" applyFont="1" applyFill="1" applyBorder="1" applyAlignment="1">
      <alignment horizontal="center" vertical="center"/>
    </xf>
    <xf numFmtId="167" fontId="0" fillId="4" borderId="3" xfId="0" applyNumberFormat="1" applyFill="1" applyBorder="1" applyAlignment="1">
      <alignment horizontal="center" vertical="center"/>
    </xf>
    <xf numFmtId="168" fontId="0" fillId="4" borderId="3" xfId="0" applyNumberFormat="1" applyFill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166" fontId="3" fillId="4" borderId="3" xfId="1" applyNumberFormat="1" applyFont="1" applyFill="1" applyBorder="1" applyAlignment="1">
      <alignment horizontal="center" vertical="center" wrapText="1"/>
    </xf>
    <xf numFmtId="167" fontId="3" fillId="4" borderId="3" xfId="0" applyNumberFormat="1" applyFont="1" applyFill="1" applyBorder="1" applyAlignment="1">
      <alignment horizontal="center" vertical="center" wrapText="1"/>
    </xf>
    <xf numFmtId="168" fontId="3" fillId="4" borderId="3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right" vertical="center" wrapText="1"/>
    </xf>
    <xf numFmtId="167" fontId="0" fillId="2" borderId="3" xfId="0" applyNumberFormat="1" applyFill="1" applyBorder="1" applyAlignment="1">
      <alignment horizontal="center" vertical="center"/>
    </xf>
    <xf numFmtId="168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10" fontId="0" fillId="0" borderId="2" xfId="1" applyNumberFormat="1" applyFont="1" applyBorder="1" applyAlignment="1">
      <alignment horizontal="center" vertical="center"/>
    </xf>
    <xf numFmtId="10" fontId="3" fillId="4" borderId="2" xfId="1" applyNumberFormat="1" applyFont="1" applyFill="1" applyBorder="1" applyAlignment="1">
      <alignment horizontal="center" vertical="center"/>
    </xf>
    <xf numFmtId="10" fontId="3" fillId="4" borderId="2" xfId="1" applyNumberFormat="1" applyFont="1" applyFill="1" applyBorder="1" applyAlignment="1">
      <alignment horizontal="center" vertical="center" wrapText="1"/>
    </xf>
    <xf numFmtId="10" fontId="3" fillId="2" borderId="2" xfId="1" applyNumberFormat="1" applyFont="1" applyFill="1" applyBorder="1" applyAlignment="1">
      <alignment horizontal="center" vertical="center"/>
    </xf>
    <xf numFmtId="166" fontId="3" fillId="4" borderId="2" xfId="1" applyNumberFormat="1" applyFont="1" applyFill="1" applyBorder="1" applyAlignment="1">
      <alignment horizontal="center" vertical="center"/>
    </xf>
    <xf numFmtId="166" fontId="3" fillId="2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/>
    <xf numFmtId="9" fontId="0" fillId="0" borderId="0" xfId="1" applyFont="1"/>
    <xf numFmtId="1" fontId="0" fillId="0" borderId="0" xfId="0" applyNumberFormat="1" applyAlignment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  <protection locked="0"/>
    </xf>
    <xf numFmtId="0" fontId="14" fillId="7" borderId="9" xfId="0" applyFont="1" applyFill="1" applyBorder="1" applyAlignment="1" applyProtection="1">
      <alignment horizontal="center" vertical="center"/>
      <protection locked="0"/>
    </xf>
    <xf numFmtId="0" fontId="15" fillId="7" borderId="9" xfId="0" applyFont="1" applyFill="1" applyBorder="1" applyAlignment="1">
      <alignment horizontal="left" vertical="center" indent="2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164" fontId="16" fillId="0" borderId="9" xfId="0" applyNumberFormat="1" applyFont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 vertical="center"/>
    </xf>
    <xf numFmtId="9" fontId="14" fillId="0" borderId="3" xfId="1" applyFont="1" applyFill="1" applyBorder="1" applyAlignment="1" applyProtection="1">
      <alignment horizontal="center" vertical="center"/>
    </xf>
    <xf numFmtId="165" fontId="15" fillId="0" borderId="0" xfId="1" applyNumberFormat="1" applyFont="1" applyFill="1" applyBorder="1" applyAlignment="1" applyProtection="1">
      <alignment horizontal="center" vertical="center"/>
      <protection locked="0"/>
    </xf>
    <xf numFmtId="164" fontId="19" fillId="0" borderId="11" xfId="0" applyNumberFormat="1" applyFont="1" applyBorder="1" applyAlignment="1">
      <alignment horizontal="center" vertical="center"/>
    </xf>
    <xf numFmtId="165" fontId="14" fillId="0" borderId="0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5" fontId="19" fillId="6" borderId="11" xfId="0" applyNumberFormat="1" applyFont="1" applyFill="1" applyBorder="1" applyAlignment="1" applyProtection="1">
      <alignment horizontal="center" vertical="center"/>
      <protection locked="0"/>
    </xf>
    <xf numFmtId="165" fontId="19" fillId="0" borderId="9" xfId="0" applyNumberFormat="1" applyFont="1" applyBorder="1" applyAlignment="1">
      <alignment horizontal="center" vertical="center"/>
    </xf>
    <xf numFmtId="164" fontId="14" fillId="6" borderId="9" xfId="0" applyNumberFormat="1" applyFont="1" applyFill="1" applyBorder="1" applyAlignment="1" applyProtection="1">
      <alignment horizontal="center" vertical="center"/>
      <protection locked="0"/>
    </xf>
    <xf numFmtId="165" fontId="19" fillId="0" borderId="12" xfId="0" applyNumberFormat="1" applyFont="1" applyBorder="1" applyAlignment="1">
      <alignment horizontal="center" vertical="center"/>
    </xf>
    <xf numFmtId="9" fontId="15" fillId="0" borderId="0" xfId="1" applyFont="1" applyFill="1" applyBorder="1" applyAlignment="1" applyProtection="1">
      <alignment horizontal="center" vertical="center"/>
      <protection locked="0"/>
    </xf>
    <xf numFmtId="9" fontId="20" fillId="0" borderId="11" xfId="1" applyFont="1" applyFill="1" applyBorder="1" applyAlignment="1">
      <alignment horizontal="center" vertical="center"/>
    </xf>
    <xf numFmtId="9" fontId="20" fillId="0" borderId="9" xfId="1" applyFont="1" applyFill="1" applyBorder="1" applyAlignment="1">
      <alignment horizontal="center" vertical="center"/>
    </xf>
    <xf numFmtId="9" fontId="20" fillId="0" borderId="12" xfId="1" applyFont="1" applyFill="1" applyBorder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165" fontId="15" fillId="0" borderId="0" xfId="0" applyNumberFormat="1" applyFont="1" applyFill="1" applyAlignment="1">
      <alignment horizontal="center" vertical="center"/>
    </xf>
    <xf numFmtId="164" fontId="15" fillId="0" borderId="0" xfId="1" applyNumberFormat="1" applyFont="1" applyFill="1" applyBorder="1" applyAlignment="1" applyProtection="1">
      <alignment horizontal="center" vertical="center"/>
      <protection locked="0"/>
    </xf>
    <xf numFmtId="9" fontId="15" fillId="0" borderId="11" xfId="1" applyFont="1" applyFill="1" applyBorder="1" applyAlignment="1">
      <alignment horizontal="center" vertical="center"/>
    </xf>
    <xf numFmtId="9" fontId="15" fillId="0" borderId="9" xfId="1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1" fontId="14" fillId="0" borderId="0" xfId="1" applyNumberFormat="1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166" fontId="19" fillId="7" borderId="3" xfId="1" applyNumberFormat="1" applyFont="1" applyFill="1" applyBorder="1" applyAlignment="1">
      <alignment horizontal="center" vertical="center"/>
    </xf>
    <xf numFmtId="165" fontId="15" fillId="0" borderId="0" xfId="0" applyNumberFormat="1" applyFont="1" applyFill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 indent="1"/>
    </xf>
    <xf numFmtId="164" fontId="14" fillId="7" borderId="3" xfId="0" applyNumberFormat="1" applyFont="1" applyFill="1" applyBorder="1" applyAlignment="1">
      <alignment horizontal="center" vertical="center"/>
    </xf>
    <xf numFmtId="165" fontId="20" fillId="0" borderId="9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" fontId="14" fillId="7" borderId="3" xfId="0" applyNumberFormat="1" applyFont="1" applyFill="1" applyBorder="1" applyAlignment="1">
      <alignment horizontal="center" vertical="center"/>
    </xf>
    <xf numFmtId="1" fontId="20" fillId="0" borderId="9" xfId="0" applyNumberFormat="1" applyFont="1" applyBorder="1" applyAlignment="1">
      <alignment horizontal="center" vertical="center"/>
    </xf>
    <xf numFmtId="165" fontId="19" fillId="7" borderId="3" xfId="0" applyNumberFormat="1" applyFont="1" applyFill="1" applyBorder="1" applyAlignment="1">
      <alignment horizontal="center" vertical="center"/>
    </xf>
    <xf numFmtId="166" fontId="19" fillId="0" borderId="0" xfId="1" applyNumberFormat="1" applyFont="1" applyFill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1" fontId="20" fillId="0" borderId="11" xfId="0" applyNumberFormat="1" applyFont="1" applyBorder="1" applyAlignment="1">
      <alignment horizontal="center" vertical="center"/>
    </xf>
    <xf numFmtId="165" fontId="15" fillId="0" borderId="11" xfId="1" applyNumberFormat="1" applyFont="1" applyFill="1" applyBorder="1" applyAlignment="1">
      <alignment horizontal="center" vertical="center"/>
    </xf>
    <xf numFmtId="0" fontId="15" fillId="0" borderId="9" xfId="0" applyFont="1" applyBorder="1"/>
    <xf numFmtId="0" fontId="15" fillId="0" borderId="12" xfId="0" applyFont="1" applyBorder="1"/>
    <xf numFmtId="165" fontId="19" fillId="0" borderId="0" xfId="0" applyNumberFormat="1" applyFont="1" applyFill="1" applyBorder="1" applyAlignment="1">
      <alignment horizontal="center" vertical="center"/>
    </xf>
    <xf numFmtId="0" fontId="15" fillId="0" borderId="18" xfId="0" applyFont="1" applyBorder="1"/>
    <xf numFmtId="0" fontId="15" fillId="0" borderId="19" xfId="0" applyFont="1" applyBorder="1"/>
    <xf numFmtId="0" fontId="15" fillId="0" borderId="20" xfId="0" applyFont="1" applyBorder="1"/>
    <xf numFmtId="0" fontId="16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9" fontId="15" fillId="0" borderId="0" xfId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indent="2"/>
    </xf>
    <xf numFmtId="2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7" borderId="9" xfId="0" applyFont="1" applyFill="1" applyBorder="1" applyAlignment="1">
      <alignment vertical="center"/>
    </xf>
    <xf numFmtId="2" fontId="20" fillId="6" borderId="9" xfId="0" applyNumberFormat="1" applyFont="1" applyFill="1" applyBorder="1" applyAlignment="1" applyProtection="1">
      <alignment horizontal="center" vertical="center"/>
      <protection locked="0"/>
    </xf>
    <xf numFmtId="9" fontId="14" fillId="0" borderId="0" xfId="1" applyFont="1" applyFill="1" applyBorder="1" applyAlignment="1">
      <alignment horizontal="center" vertical="center"/>
    </xf>
    <xf numFmtId="1" fontId="14" fillId="7" borderId="12" xfId="1" applyNumberFormat="1" applyFont="1" applyFill="1" applyBorder="1" applyAlignment="1">
      <alignment horizontal="center" vertical="center"/>
    </xf>
    <xf numFmtId="9" fontId="14" fillId="7" borderId="12" xfId="1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vertical="center" wrapText="1"/>
    </xf>
    <xf numFmtId="165" fontId="14" fillId="7" borderId="12" xfId="1" applyNumberFormat="1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vertical="center" wrapText="1"/>
    </xf>
    <xf numFmtId="0" fontId="15" fillId="7" borderId="10" xfId="0" applyFont="1" applyFill="1" applyBorder="1" applyAlignment="1">
      <alignment vertical="center" wrapText="1"/>
    </xf>
    <xf numFmtId="0" fontId="14" fillId="7" borderId="9" xfId="0" applyFont="1" applyFill="1" applyBorder="1" applyAlignment="1">
      <alignment horizontal="left" vertical="center" indent="2"/>
    </xf>
    <xf numFmtId="165" fontId="15" fillId="7" borderId="12" xfId="0" applyNumberFormat="1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vertical="center"/>
    </xf>
    <xf numFmtId="0" fontId="15" fillId="7" borderId="16" xfId="0" applyFont="1" applyFill="1" applyBorder="1" applyAlignment="1">
      <alignment vertical="center"/>
    </xf>
    <xf numFmtId="0" fontId="15" fillId="7" borderId="17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 indent="1"/>
    </xf>
    <xf numFmtId="0" fontId="14" fillId="5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164" fontId="19" fillId="0" borderId="9" xfId="0" applyNumberFormat="1" applyFont="1" applyBorder="1" applyAlignment="1">
      <alignment horizontal="center" vertical="center"/>
    </xf>
    <xf numFmtId="164" fontId="19" fillId="0" borderId="12" xfId="0" applyNumberFormat="1" applyFont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20" fillId="5" borderId="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 applyProtection="1">
      <alignment horizontal="center" vertical="center"/>
    </xf>
    <xf numFmtId="164" fontId="14" fillId="0" borderId="2" xfId="1" applyNumberFormat="1" applyFont="1" applyFill="1" applyBorder="1" applyAlignment="1" applyProtection="1">
      <alignment horizontal="center" vertical="center"/>
    </xf>
    <xf numFmtId="165" fontId="15" fillId="6" borderId="29" xfId="1" applyNumberFormat="1" applyFont="1" applyFill="1" applyBorder="1" applyAlignment="1" applyProtection="1">
      <alignment horizontal="center" vertical="center"/>
      <protection locked="0"/>
    </xf>
    <xf numFmtId="9" fontId="15" fillId="6" borderId="29" xfId="1" applyFont="1" applyFill="1" applyBorder="1" applyAlignment="1" applyProtection="1">
      <alignment horizontal="center" vertical="center"/>
      <protection locked="0"/>
    </xf>
    <xf numFmtId="164" fontId="15" fillId="6" borderId="29" xfId="1" applyNumberFormat="1" applyFont="1" applyFill="1" applyBorder="1" applyAlignment="1" applyProtection="1">
      <alignment horizontal="center" vertical="center"/>
      <protection locked="0"/>
    </xf>
    <xf numFmtId="165" fontId="15" fillId="6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 wrapText="1"/>
    </xf>
    <xf numFmtId="0" fontId="14" fillId="7" borderId="31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14" fillId="5" borderId="32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65" fontId="14" fillId="6" borderId="30" xfId="0" applyNumberFormat="1" applyFont="1" applyFill="1" applyBorder="1" applyAlignment="1" applyProtection="1">
      <alignment horizontal="center" vertical="center"/>
      <protection locked="0"/>
    </xf>
    <xf numFmtId="0" fontId="19" fillId="2" borderId="28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 applyProtection="1">
      <alignment horizontal="center" vertical="center"/>
    </xf>
    <xf numFmtId="165" fontId="15" fillId="0" borderId="3" xfId="1" applyNumberFormat="1" applyFont="1" applyFill="1" applyBorder="1" applyAlignment="1" applyProtection="1">
      <alignment horizontal="center" vertical="center"/>
    </xf>
    <xf numFmtId="165" fontId="14" fillId="0" borderId="2" xfId="1" applyNumberFormat="1" applyFont="1" applyFill="1" applyBorder="1" applyAlignment="1" applyProtection="1">
      <alignment horizontal="center" vertical="center"/>
    </xf>
    <xf numFmtId="165" fontId="14" fillId="0" borderId="3" xfId="1" applyNumberFormat="1" applyFont="1" applyFill="1" applyBorder="1" applyAlignment="1" applyProtection="1">
      <alignment horizontal="center" vertical="center"/>
    </xf>
    <xf numFmtId="1" fontId="14" fillId="0" borderId="2" xfId="1" applyNumberFormat="1" applyFont="1" applyFill="1" applyBorder="1" applyAlignment="1" applyProtection="1">
      <alignment horizontal="center" vertical="center"/>
    </xf>
    <xf numFmtId="1" fontId="14" fillId="0" borderId="3" xfId="1" applyNumberFormat="1" applyFont="1" applyFill="1" applyBorder="1" applyAlignment="1" applyProtection="1">
      <alignment horizontal="center" vertical="center"/>
    </xf>
    <xf numFmtId="165" fontId="15" fillId="0" borderId="0" xfId="0" applyNumberFormat="1" applyFont="1" applyFill="1" applyAlignment="1" applyProtection="1">
      <alignment horizontal="center" vertical="center"/>
    </xf>
    <xf numFmtId="0" fontId="14" fillId="5" borderId="3" xfId="0" applyFont="1" applyFill="1" applyBorder="1" applyAlignment="1" applyProtection="1">
      <alignment horizontal="center" vertical="center" wrapText="1"/>
    </xf>
    <xf numFmtId="166" fontId="19" fillId="0" borderId="3" xfId="1" applyNumberFormat="1" applyFont="1" applyFill="1" applyBorder="1" applyAlignment="1" applyProtection="1">
      <alignment horizontal="center" vertical="center"/>
    </xf>
    <xf numFmtId="164" fontId="14" fillId="0" borderId="3" xfId="0" applyNumberFormat="1" applyFont="1" applyFill="1" applyBorder="1" applyAlignment="1" applyProtection="1">
      <alignment horizontal="center" vertical="center"/>
    </xf>
    <xf numFmtId="0" fontId="23" fillId="5" borderId="1" xfId="0" applyFont="1" applyFill="1" applyBorder="1" applyAlignment="1" applyProtection="1">
      <alignment horizontal="left" vertical="center"/>
    </xf>
    <xf numFmtId="0" fontId="23" fillId="5" borderId="21" xfId="0" applyFont="1" applyFill="1" applyBorder="1" applyAlignment="1" applyProtection="1">
      <alignment horizontal="left" vertical="center"/>
    </xf>
    <xf numFmtId="0" fontId="14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vertical="center"/>
    </xf>
    <xf numFmtId="0" fontId="15" fillId="0" borderId="1" xfId="0" applyFont="1" applyFill="1" applyBorder="1" applyAlignment="1" applyProtection="1">
      <alignment vertical="center"/>
    </xf>
    <xf numFmtId="0" fontId="15" fillId="0" borderId="1" xfId="0" applyFont="1" applyFill="1" applyBorder="1" applyAlignment="1" applyProtection="1">
      <alignment horizontal="left" vertical="center"/>
    </xf>
    <xf numFmtId="0" fontId="15" fillId="0" borderId="21" xfId="0" applyFont="1" applyFill="1" applyBorder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23" fillId="5" borderId="2" xfId="0" applyFont="1" applyFill="1" applyBorder="1" applyAlignment="1" applyProtection="1">
      <alignment horizontal="left" vertical="center"/>
    </xf>
    <xf numFmtId="0" fontId="15" fillId="0" borderId="2" xfId="0" applyFont="1" applyFill="1" applyBorder="1" applyAlignment="1" applyProtection="1">
      <alignment horizontal="left" vertical="center"/>
    </xf>
  </cellXfs>
  <cellStyles count="2">
    <cellStyle name="Normal" xfId="0" builtinId="0"/>
    <cellStyle name="Percent" xfId="1" builtinId="5"/>
  </cellStyles>
  <dxfs count="1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Total</a:t>
            </a:r>
            <a:r>
              <a:rPr lang="en-US" sz="1600" b="1" baseline="0"/>
              <a:t>  Revenue Increase at Target Account</a:t>
            </a:r>
            <a:endParaRPr lang="en-US" sz="1600" b="1"/>
          </a:p>
        </c:rich>
      </c:tx>
      <c:layout>
        <c:manualLayout>
          <c:xMode val="edge"/>
          <c:yMode val="edge"/>
          <c:x val="0.18639551102636415"/>
          <c:y val="5.54469049449610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655295136637181E-2"/>
          <c:y val="0.32359498599554698"/>
          <c:w val="0.71484556854635606"/>
          <c:h val="0.53943474969137994"/>
        </c:manualLayout>
      </c:layout>
      <c:barChart>
        <c:barDir val="col"/>
        <c:grouping val="clustered"/>
        <c:varyColors val="0"/>
        <c:ser>
          <c:idx val="0"/>
          <c:order val="0"/>
          <c:tx>
            <c:v>Before Inv Mgmt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Monthly Revenue</c:v>
              </c:pt>
            </c:strLit>
          </c:cat>
          <c:val>
            <c:numRef>
              <c:f>'ROI Calc'!$F$5</c:f>
              <c:numCache>
                <c:formatCode>"$"#,##0</c:formatCode>
                <c:ptCount val="1"/>
                <c:pt idx="0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5-47F7-AD28-863AB1E29A6A}"/>
            </c:ext>
          </c:extLst>
        </c:ser>
        <c:ser>
          <c:idx val="1"/>
          <c:order val="1"/>
          <c:tx>
            <c:v>After Inv Mgmt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Monthly Revenue</c:v>
              </c:pt>
            </c:strLit>
          </c:cat>
          <c:val>
            <c:numRef>
              <c:f>'ROI Calc'!$G$5</c:f>
              <c:numCache>
                <c:formatCode>"$"#,##0</c:formatCode>
                <c:ptCount val="1"/>
                <c:pt idx="0">
                  <c:v>17550.000000000004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95-47F7-AD28-863AB1E29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50"/>
        <c:axId val="590345712"/>
        <c:axId val="589165408"/>
      </c:barChart>
      <c:catAx>
        <c:axId val="59034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165408"/>
        <c:crosses val="autoZero"/>
        <c:auto val="1"/>
        <c:lblAlgn val="ctr"/>
        <c:lblOffset val="100"/>
        <c:noMultiLvlLbl val="0"/>
      </c:catAx>
      <c:valAx>
        <c:axId val="58916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34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482471451565045"/>
          <c:y val="0.15685293446675588"/>
          <c:w val="0.65093252240538158"/>
          <c:h val="5.8664401705063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rgbClr val="EEECE1">
          <a:lumMod val="50000"/>
        </a:srgb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baseline="0"/>
              <a:t>Gross Profit Increase at Target Account</a:t>
            </a:r>
            <a:endParaRPr lang="en-US" sz="1600" b="1"/>
          </a:p>
        </c:rich>
      </c:tx>
      <c:layout>
        <c:manualLayout>
          <c:xMode val="edge"/>
          <c:yMode val="edge"/>
          <c:x val="0.19558006298801844"/>
          <c:y val="5.5076592144487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655295136637181E-2"/>
          <c:y val="0.29043931898195335"/>
          <c:w val="0.7374166605342557"/>
          <c:h val="0.58069392253455665"/>
        </c:manualLayout>
      </c:layout>
      <c:barChart>
        <c:barDir val="col"/>
        <c:grouping val="clustered"/>
        <c:varyColors val="0"/>
        <c:ser>
          <c:idx val="0"/>
          <c:order val="0"/>
          <c:tx>
            <c:v>Before Inv Mgmt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Monthly Revenue</c:v>
              </c:pt>
            </c:strLit>
          </c:cat>
          <c:val>
            <c:numRef>
              <c:f>'ROI Calc'!$F$14</c:f>
              <c:numCache>
                <c:formatCode>"$"#,##0</c:formatCode>
                <c:ptCount val="1"/>
                <c:pt idx="0">
                  <c:v>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16-4869-9FB5-385DE371F3B2}"/>
            </c:ext>
          </c:extLst>
        </c:ser>
        <c:ser>
          <c:idx val="1"/>
          <c:order val="1"/>
          <c:tx>
            <c:v>After Inv Mgmt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Monthly Revenue</c:v>
              </c:pt>
            </c:strLit>
          </c:cat>
          <c:val>
            <c:numRef>
              <c:f>'ROI Calc'!$G$14</c:f>
              <c:numCache>
                <c:formatCode>"$"#,##0</c:formatCode>
                <c:ptCount val="1"/>
                <c:pt idx="0">
                  <c:v>8073.0000000000009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16-4869-9FB5-385DE371F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50"/>
        <c:axId val="590345712"/>
        <c:axId val="589165408"/>
      </c:barChart>
      <c:catAx>
        <c:axId val="59034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165408"/>
        <c:crosses val="autoZero"/>
        <c:auto val="1"/>
        <c:lblAlgn val="ctr"/>
        <c:lblOffset val="100"/>
        <c:noMultiLvlLbl val="0"/>
      </c:catAx>
      <c:valAx>
        <c:axId val="58916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34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025791190123379"/>
          <c:y val="0.14201684350955476"/>
          <c:w val="0.67637653154851229"/>
          <c:h val="7.5282597110343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rgbClr val="EEECE1">
          <a:lumMod val="50000"/>
        </a:srgb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200" b="1"/>
              <a:t>Payback Timeline</a:t>
            </a:r>
          </a:p>
        </c:rich>
      </c:tx>
      <c:layout>
        <c:manualLayout>
          <c:xMode val="edge"/>
          <c:yMode val="edge"/>
          <c:x val="0.39591110966397497"/>
          <c:y val="3.80423423383735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03379475896724"/>
          <c:y val="0.20640661696823531"/>
          <c:w val="0.82297151335818619"/>
          <c:h val="0.62923872588378105"/>
        </c:manualLayout>
      </c:layout>
      <c:lineChart>
        <c:grouping val="standard"/>
        <c:varyColors val="0"/>
        <c:ser>
          <c:idx val="0"/>
          <c:order val="0"/>
          <c:tx>
            <c:strRef>
              <c:f>'Payoff '!$C$1</c:f>
              <c:strCache>
                <c:ptCount val="1"/>
                <c:pt idx="0">
                  <c:v>Totals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'Payoff '!$C$2:$C$121</c:f>
              <c:numCache>
                <c:formatCode>"$"#,##0</c:formatCode>
                <c:ptCount val="120"/>
                <c:pt idx="0">
                  <c:v>331.08333333333343</c:v>
                </c:pt>
                <c:pt idx="1">
                  <c:v>993.25000000000023</c:v>
                </c:pt>
                <c:pt idx="2">
                  <c:v>1986.5000000000005</c:v>
                </c:pt>
                <c:pt idx="3">
                  <c:v>3310.8333333333339</c:v>
                </c:pt>
                <c:pt idx="4">
                  <c:v>4966.2500000000009</c:v>
                </c:pt>
                <c:pt idx="5">
                  <c:v>6952.7500000000018</c:v>
                </c:pt>
                <c:pt idx="6">
                  <c:v>9270.3333333333358</c:v>
                </c:pt>
                <c:pt idx="7">
                  <c:v>11919.000000000004</c:v>
                </c:pt>
                <c:pt idx="8">
                  <c:v>14898.750000000004</c:v>
                </c:pt>
                <c:pt idx="9">
                  <c:v>18209.583333333339</c:v>
                </c:pt>
                <c:pt idx="10">
                  <c:v>21851.500000000007</c:v>
                </c:pt>
                <c:pt idx="11">
                  <c:v>25824.500000000007</c:v>
                </c:pt>
                <c:pt idx="12">
                  <c:v>29797.500000000007</c:v>
                </c:pt>
                <c:pt idx="13">
                  <c:v>33770.500000000007</c:v>
                </c:pt>
                <c:pt idx="14">
                  <c:v>37743.500000000007</c:v>
                </c:pt>
                <c:pt idx="15">
                  <c:v>41716.500000000007</c:v>
                </c:pt>
                <c:pt idx="16">
                  <c:v>45689.500000000007</c:v>
                </c:pt>
                <c:pt idx="17">
                  <c:v>49662.500000000007</c:v>
                </c:pt>
                <c:pt idx="18">
                  <c:v>53635.500000000007</c:v>
                </c:pt>
                <c:pt idx="19">
                  <c:v>57608.500000000007</c:v>
                </c:pt>
                <c:pt idx="20">
                  <c:v>61581.500000000007</c:v>
                </c:pt>
                <c:pt idx="21">
                  <c:v>65554.500000000015</c:v>
                </c:pt>
                <c:pt idx="22">
                  <c:v>69527.500000000015</c:v>
                </c:pt>
                <c:pt idx="23">
                  <c:v>73500.500000000015</c:v>
                </c:pt>
                <c:pt idx="24">
                  <c:v>77473.500000000015</c:v>
                </c:pt>
                <c:pt idx="25">
                  <c:v>81446.500000000015</c:v>
                </c:pt>
                <c:pt idx="26">
                  <c:v>85419.500000000015</c:v>
                </c:pt>
                <c:pt idx="27">
                  <c:v>89392.500000000015</c:v>
                </c:pt>
                <c:pt idx="28">
                  <c:v>93365.500000000015</c:v>
                </c:pt>
                <c:pt idx="29">
                  <c:v>97338.500000000015</c:v>
                </c:pt>
                <c:pt idx="30">
                  <c:v>101311.50000000001</c:v>
                </c:pt>
                <c:pt idx="31">
                  <c:v>105284.50000000001</c:v>
                </c:pt>
                <c:pt idx="32">
                  <c:v>109257.50000000001</c:v>
                </c:pt>
                <c:pt idx="33">
                  <c:v>113230.50000000001</c:v>
                </c:pt>
                <c:pt idx="34">
                  <c:v>117203.50000000001</c:v>
                </c:pt>
                <c:pt idx="35">
                  <c:v>121176.50000000001</c:v>
                </c:pt>
                <c:pt idx="36">
                  <c:v>125149.50000000001</c:v>
                </c:pt>
                <c:pt idx="37">
                  <c:v>129122.50000000001</c:v>
                </c:pt>
                <c:pt idx="38">
                  <c:v>133095.50000000003</c:v>
                </c:pt>
                <c:pt idx="39">
                  <c:v>137068.50000000003</c:v>
                </c:pt>
                <c:pt idx="40">
                  <c:v>141041.50000000003</c:v>
                </c:pt>
                <c:pt idx="41">
                  <c:v>145014.50000000003</c:v>
                </c:pt>
                <c:pt idx="42">
                  <c:v>148987.50000000003</c:v>
                </c:pt>
                <c:pt idx="43">
                  <c:v>152960.50000000003</c:v>
                </c:pt>
                <c:pt idx="44">
                  <c:v>156933.50000000003</c:v>
                </c:pt>
                <c:pt idx="45">
                  <c:v>160906.50000000003</c:v>
                </c:pt>
                <c:pt idx="46">
                  <c:v>164879.50000000003</c:v>
                </c:pt>
                <c:pt idx="47">
                  <c:v>168852.50000000003</c:v>
                </c:pt>
                <c:pt idx="48">
                  <c:v>172825.50000000003</c:v>
                </c:pt>
                <c:pt idx="49">
                  <c:v>176798.50000000003</c:v>
                </c:pt>
                <c:pt idx="50">
                  <c:v>180771.50000000003</c:v>
                </c:pt>
                <c:pt idx="51">
                  <c:v>184744.50000000003</c:v>
                </c:pt>
                <c:pt idx="52">
                  <c:v>188717.50000000003</c:v>
                </c:pt>
                <c:pt idx="53">
                  <c:v>192690.50000000003</c:v>
                </c:pt>
                <c:pt idx="54">
                  <c:v>196663.50000000003</c:v>
                </c:pt>
                <c:pt idx="55">
                  <c:v>200636.50000000003</c:v>
                </c:pt>
                <c:pt idx="56">
                  <c:v>204609.50000000003</c:v>
                </c:pt>
                <c:pt idx="57">
                  <c:v>208582.50000000003</c:v>
                </c:pt>
                <c:pt idx="58">
                  <c:v>212555.50000000003</c:v>
                </c:pt>
                <c:pt idx="59">
                  <c:v>216528.50000000003</c:v>
                </c:pt>
                <c:pt idx="60">
                  <c:v>220501.50000000003</c:v>
                </c:pt>
                <c:pt idx="61">
                  <c:v>224474.50000000003</c:v>
                </c:pt>
                <c:pt idx="62">
                  <c:v>228447.50000000003</c:v>
                </c:pt>
                <c:pt idx="63">
                  <c:v>232420.50000000003</c:v>
                </c:pt>
                <c:pt idx="64">
                  <c:v>236393.50000000003</c:v>
                </c:pt>
                <c:pt idx="65">
                  <c:v>240366.50000000003</c:v>
                </c:pt>
                <c:pt idx="66">
                  <c:v>244339.50000000003</c:v>
                </c:pt>
                <c:pt idx="67">
                  <c:v>248312.50000000003</c:v>
                </c:pt>
                <c:pt idx="68">
                  <c:v>252285.50000000003</c:v>
                </c:pt>
                <c:pt idx="69">
                  <c:v>256258.50000000003</c:v>
                </c:pt>
                <c:pt idx="70">
                  <c:v>260231.50000000003</c:v>
                </c:pt>
                <c:pt idx="71">
                  <c:v>264204.50000000006</c:v>
                </c:pt>
                <c:pt idx="72">
                  <c:v>268177.50000000006</c:v>
                </c:pt>
                <c:pt idx="73">
                  <c:v>272150.50000000006</c:v>
                </c:pt>
                <c:pt idx="74">
                  <c:v>276123.50000000006</c:v>
                </c:pt>
                <c:pt idx="75">
                  <c:v>280096.50000000006</c:v>
                </c:pt>
                <c:pt idx="76">
                  <c:v>284069.50000000006</c:v>
                </c:pt>
                <c:pt idx="77">
                  <c:v>288042.50000000006</c:v>
                </c:pt>
                <c:pt idx="78">
                  <c:v>292015.50000000006</c:v>
                </c:pt>
                <c:pt idx="79">
                  <c:v>295988.50000000006</c:v>
                </c:pt>
                <c:pt idx="80">
                  <c:v>299961.50000000006</c:v>
                </c:pt>
                <c:pt idx="81">
                  <c:v>303934.50000000006</c:v>
                </c:pt>
                <c:pt idx="82">
                  <c:v>307907.50000000006</c:v>
                </c:pt>
                <c:pt idx="83">
                  <c:v>311880.50000000006</c:v>
                </c:pt>
                <c:pt idx="84">
                  <c:v>315853.50000000006</c:v>
                </c:pt>
                <c:pt idx="85">
                  <c:v>319826.50000000006</c:v>
                </c:pt>
                <c:pt idx="86">
                  <c:v>323799.50000000006</c:v>
                </c:pt>
                <c:pt idx="87">
                  <c:v>327772.50000000006</c:v>
                </c:pt>
                <c:pt idx="88">
                  <c:v>331745.50000000006</c:v>
                </c:pt>
                <c:pt idx="89">
                  <c:v>335718.50000000006</c:v>
                </c:pt>
                <c:pt idx="90">
                  <c:v>339691.50000000006</c:v>
                </c:pt>
                <c:pt idx="91">
                  <c:v>343664.50000000006</c:v>
                </c:pt>
                <c:pt idx="92">
                  <c:v>347637.50000000006</c:v>
                </c:pt>
                <c:pt idx="93">
                  <c:v>351610.50000000006</c:v>
                </c:pt>
                <c:pt idx="94">
                  <c:v>355583.50000000006</c:v>
                </c:pt>
                <c:pt idx="95">
                  <c:v>359556.50000000006</c:v>
                </c:pt>
                <c:pt idx="96">
                  <c:v>363529.50000000006</c:v>
                </c:pt>
                <c:pt idx="97">
                  <c:v>367502.50000000006</c:v>
                </c:pt>
                <c:pt idx="98">
                  <c:v>371475.50000000006</c:v>
                </c:pt>
                <c:pt idx="99">
                  <c:v>375448.50000000006</c:v>
                </c:pt>
                <c:pt idx="100">
                  <c:v>379421.50000000006</c:v>
                </c:pt>
                <c:pt idx="101">
                  <c:v>383394.50000000006</c:v>
                </c:pt>
                <c:pt idx="102">
                  <c:v>387367.50000000006</c:v>
                </c:pt>
                <c:pt idx="103">
                  <c:v>391340.50000000006</c:v>
                </c:pt>
                <c:pt idx="104">
                  <c:v>395313.50000000006</c:v>
                </c:pt>
                <c:pt idx="105">
                  <c:v>399286.50000000006</c:v>
                </c:pt>
                <c:pt idx="106">
                  <c:v>403259.50000000006</c:v>
                </c:pt>
                <c:pt idx="107">
                  <c:v>407232.50000000006</c:v>
                </c:pt>
                <c:pt idx="108">
                  <c:v>411205.50000000006</c:v>
                </c:pt>
                <c:pt idx="109">
                  <c:v>415178.50000000006</c:v>
                </c:pt>
                <c:pt idx="110">
                  <c:v>419151.50000000006</c:v>
                </c:pt>
                <c:pt idx="111">
                  <c:v>423124.50000000006</c:v>
                </c:pt>
                <c:pt idx="112">
                  <c:v>427097.50000000006</c:v>
                </c:pt>
                <c:pt idx="113">
                  <c:v>431070.50000000006</c:v>
                </c:pt>
                <c:pt idx="114">
                  <c:v>435043.50000000006</c:v>
                </c:pt>
                <c:pt idx="115">
                  <c:v>439016.50000000006</c:v>
                </c:pt>
                <c:pt idx="116">
                  <c:v>442989.50000000006</c:v>
                </c:pt>
                <c:pt idx="117">
                  <c:v>446962.50000000006</c:v>
                </c:pt>
                <c:pt idx="118">
                  <c:v>450935.50000000006</c:v>
                </c:pt>
                <c:pt idx="119">
                  <c:v>454908.50000000006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7-40A3-8E79-6F04952E569F}"/>
            </c:ext>
          </c:extLst>
        </c:ser>
        <c:ser>
          <c:idx val="1"/>
          <c:order val="1"/>
          <c:tx>
            <c:strRef>
              <c:f>'Payoff '!$D$1</c:f>
              <c:strCache>
                <c:ptCount val="1"/>
                <c:pt idx="0">
                  <c:v>Month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E6B7-40A3-8E79-6F04952E569F}"/>
              </c:ext>
            </c:extLst>
          </c:dPt>
          <c:val>
            <c:numRef>
              <c:f>'Payoff '!$D$2:$D$121</c:f>
              <c:numCache>
                <c:formatCode>General</c:formatCode>
                <c:ptCount val="1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B7-40A3-8E79-6F04952E569F}"/>
            </c:ext>
          </c:extLst>
        </c:ser>
        <c:ser>
          <c:idx val="2"/>
          <c:order val="2"/>
          <c:tx>
            <c:strRef>
              <c:f>'Payoff '!$E$1</c:f>
              <c:strCache>
                <c:ptCount val="1"/>
                <c:pt idx="0">
                  <c:v>Payback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0B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14"/>
            <c:marker>
              <c:symbol val="circle"/>
              <c:size val="10"/>
              <c:spPr>
                <a:solidFill>
                  <a:srgbClr val="00B050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40C-4F0D-AAE9-1BC650C36C6F}"/>
              </c:ext>
            </c:extLst>
          </c:dPt>
          <c:val>
            <c:numRef>
              <c:f>'Payoff '!$E$2:$E$121</c:f>
              <c:numCache>
                <c:formatCode>0</c:formatCode>
                <c:ptCount val="1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21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B7-40A3-8E79-6F04952E5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solidFill>
                <a:srgbClr val="00B050">
                  <a:alpha val="47000"/>
                </a:srgbClr>
              </a:solidFill>
              <a:ln w="9525">
                <a:solidFill>
                  <a:schemeClr val="accent3"/>
                </a:solidFill>
              </a:ln>
              <a:effectLst/>
            </c:spPr>
          </c:downBars>
        </c:upDownBars>
        <c:marker val="1"/>
        <c:smooth val="0"/>
        <c:axId val="179615248"/>
        <c:axId val="179618128"/>
      </c:lineChart>
      <c:catAx>
        <c:axId val="179615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618128"/>
        <c:crosses val="autoZero"/>
        <c:auto val="1"/>
        <c:lblAlgn val="ctr"/>
        <c:lblOffset val="100"/>
        <c:noMultiLvlLbl val="0"/>
      </c:catAx>
      <c:valAx>
        <c:axId val="17961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61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606720500130242"/>
          <c:y val="0.10779420323480507"/>
          <c:w val="0.35329102630893461"/>
          <c:h val="6.30311209138473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2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baseline="0"/>
              <a:t>Additional Benefit From Other Account Potential</a:t>
            </a:r>
            <a:endParaRPr lang="en-US" sz="1600" b="1"/>
          </a:p>
        </c:rich>
      </c:tx>
      <c:layout>
        <c:manualLayout>
          <c:xMode val="edge"/>
          <c:yMode val="edge"/>
          <c:x val="0.12435641046599279"/>
          <c:y val="8.4811465707344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655295136637181E-2"/>
          <c:y val="0.29043931898195335"/>
          <c:w val="0.74191174200110788"/>
          <c:h val="0.60314799988082568"/>
        </c:manualLayout>
      </c:layout>
      <c:barChart>
        <c:barDir val="col"/>
        <c:grouping val="clustered"/>
        <c:varyColors val="0"/>
        <c:ser>
          <c:idx val="0"/>
          <c:order val="0"/>
          <c:tx>
            <c:v>Before Inv Mgmt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Monthly Revenue</c:v>
              </c:pt>
            </c:strLit>
          </c:cat>
          <c:val>
            <c:numRef>
              <c:f>'Corporate Benefits'!$F$12</c:f>
              <c:numCache>
                <c:formatCode>"$"#,##0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4-460B-A020-0E0D444E7998}"/>
            </c:ext>
          </c:extLst>
        </c:ser>
        <c:ser>
          <c:idx val="1"/>
          <c:order val="1"/>
          <c:tx>
            <c:v>After Inv Mgmt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Monthly Revenue</c:v>
              </c:pt>
            </c:strLit>
          </c:cat>
          <c:val>
            <c:numRef>
              <c:f>'Corporate Benefits'!$F$11</c:f>
              <c:numCache>
                <c:formatCode>"$"#,##0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A4-460B-A020-0E0D444E7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50"/>
        <c:axId val="590345712"/>
        <c:axId val="589165408"/>
      </c:barChart>
      <c:catAx>
        <c:axId val="59034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165408"/>
        <c:crosses val="autoZero"/>
        <c:auto val="1"/>
        <c:lblAlgn val="ctr"/>
        <c:lblOffset val="100"/>
        <c:noMultiLvlLbl val="0"/>
      </c:catAx>
      <c:valAx>
        <c:axId val="58916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34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195878629358182"/>
          <c:y val="0.1728463138002477"/>
          <c:w val="0.67608206413644656"/>
          <c:h val="8.2243164486328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rgbClr val="EEECE1">
          <a:lumMod val="50000"/>
        </a:srgb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Payback Timeline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'Payoff '!$C$1</c:f>
              <c:strCache>
                <c:ptCount val="1"/>
                <c:pt idx="0">
                  <c:v>Totals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'Payoff '!$C$2:$C$37</c:f>
              <c:numCache>
                <c:formatCode>"$"#,##0</c:formatCode>
                <c:ptCount val="36"/>
                <c:pt idx="0">
                  <c:v>331.08333333333343</c:v>
                </c:pt>
                <c:pt idx="1">
                  <c:v>993.25000000000023</c:v>
                </c:pt>
                <c:pt idx="2">
                  <c:v>1986.5000000000005</c:v>
                </c:pt>
                <c:pt idx="3">
                  <c:v>3310.8333333333339</c:v>
                </c:pt>
                <c:pt idx="4">
                  <c:v>4966.2500000000009</c:v>
                </c:pt>
                <c:pt idx="5">
                  <c:v>6952.7500000000018</c:v>
                </c:pt>
                <c:pt idx="6">
                  <c:v>9270.3333333333358</c:v>
                </c:pt>
                <c:pt idx="7">
                  <c:v>11919.000000000004</c:v>
                </c:pt>
                <c:pt idx="8">
                  <c:v>14898.750000000004</c:v>
                </c:pt>
                <c:pt idx="9">
                  <c:v>18209.583333333339</c:v>
                </c:pt>
                <c:pt idx="10">
                  <c:v>21851.500000000007</c:v>
                </c:pt>
                <c:pt idx="11">
                  <c:v>25824.500000000007</c:v>
                </c:pt>
                <c:pt idx="12">
                  <c:v>29797.500000000007</c:v>
                </c:pt>
                <c:pt idx="13">
                  <c:v>33770.500000000007</c:v>
                </c:pt>
                <c:pt idx="14">
                  <c:v>37743.500000000007</c:v>
                </c:pt>
                <c:pt idx="15">
                  <c:v>41716.500000000007</c:v>
                </c:pt>
                <c:pt idx="16">
                  <c:v>45689.500000000007</c:v>
                </c:pt>
                <c:pt idx="17">
                  <c:v>49662.500000000007</c:v>
                </c:pt>
                <c:pt idx="18">
                  <c:v>53635.500000000007</c:v>
                </c:pt>
                <c:pt idx="19">
                  <c:v>57608.500000000007</c:v>
                </c:pt>
                <c:pt idx="20">
                  <c:v>61581.500000000007</c:v>
                </c:pt>
                <c:pt idx="21">
                  <c:v>65554.500000000015</c:v>
                </c:pt>
                <c:pt idx="22">
                  <c:v>69527.500000000015</c:v>
                </c:pt>
                <c:pt idx="23">
                  <c:v>73500.500000000015</c:v>
                </c:pt>
                <c:pt idx="24">
                  <c:v>77473.500000000015</c:v>
                </c:pt>
                <c:pt idx="25">
                  <c:v>81446.500000000015</c:v>
                </c:pt>
                <c:pt idx="26">
                  <c:v>85419.500000000015</c:v>
                </c:pt>
                <c:pt idx="27">
                  <c:v>89392.500000000015</c:v>
                </c:pt>
                <c:pt idx="28">
                  <c:v>93365.500000000015</c:v>
                </c:pt>
                <c:pt idx="29">
                  <c:v>97338.500000000015</c:v>
                </c:pt>
                <c:pt idx="30">
                  <c:v>101311.50000000001</c:v>
                </c:pt>
                <c:pt idx="31">
                  <c:v>105284.50000000001</c:v>
                </c:pt>
                <c:pt idx="32">
                  <c:v>109257.50000000001</c:v>
                </c:pt>
                <c:pt idx="33">
                  <c:v>113230.50000000001</c:v>
                </c:pt>
                <c:pt idx="34">
                  <c:v>117203.50000000001</c:v>
                </c:pt>
                <c:pt idx="35">
                  <c:v>121176.50000000001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4-4EF5-AE82-B9B20B932844}"/>
            </c:ext>
          </c:extLst>
        </c:ser>
        <c:ser>
          <c:idx val="1"/>
          <c:order val="1"/>
          <c:tx>
            <c:strRef>
              <c:f>'Payoff '!$D$1</c:f>
              <c:strCache>
                <c:ptCount val="1"/>
                <c:pt idx="0">
                  <c:v>Month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5244-4EF5-AE82-B9B20B932844}"/>
              </c:ext>
            </c:extLst>
          </c:dPt>
          <c:val>
            <c:numRef>
              <c:f>'Payoff '!$D$2:$D$37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4-4EF5-AE82-B9B20B932844}"/>
            </c:ext>
          </c:extLst>
        </c:ser>
        <c:ser>
          <c:idx val="2"/>
          <c:order val="2"/>
          <c:tx>
            <c:strRef>
              <c:f>'Payoff '!$E$1</c:f>
              <c:strCache>
                <c:ptCount val="1"/>
                <c:pt idx="0">
                  <c:v>Payback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00B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'Payoff '!$E$2:$E$37</c:f>
              <c:numCache>
                <c:formatCode>0</c:formatCode>
                <c:ptCount val="3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21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44-4EF5-AE82-B9B20B932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solidFill>
                <a:srgbClr val="00B050">
                  <a:alpha val="60000"/>
                </a:srgbClr>
              </a:solidFill>
              <a:ln w="0">
                <a:solidFill>
                  <a:schemeClr val="accent5">
                    <a:lumMod val="75000"/>
                  </a:schemeClr>
                </a:solidFill>
              </a:ln>
              <a:effectLst/>
            </c:spPr>
          </c:downBars>
        </c:upDownBars>
        <c:marker val="1"/>
        <c:smooth val="0"/>
        <c:axId val="179615248"/>
        <c:axId val="179618128"/>
      </c:lineChart>
      <c:catAx>
        <c:axId val="179615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618128"/>
        <c:crosses val="autoZero"/>
        <c:auto val="1"/>
        <c:lblAlgn val="ctr"/>
        <c:lblOffset val="100"/>
        <c:noMultiLvlLbl val="0"/>
      </c:catAx>
      <c:valAx>
        <c:axId val="17961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61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167294</xdr:rowOff>
    </xdr:from>
    <xdr:to>
      <xdr:col>3</xdr:col>
      <xdr:colOff>419993</xdr:colOff>
      <xdr:row>0</xdr:row>
      <xdr:rowOff>816882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820B721-E658-F06F-DD2C-DECD2439F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294"/>
          <a:ext cx="5715893" cy="649588"/>
        </a:xfrm>
        <a:prstGeom prst="rect">
          <a:avLst/>
        </a:prstGeom>
      </xdr:spPr>
    </xdr:pic>
    <xdr:clientData/>
  </xdr:twoCellAnchor>
  <xdr:twoCellAnchor>
    <xdr:from>
      <xdr:col>3</xdr:col>
      <xdr:colOff>806220</xdr:colOff>
      <xdr:row>14</xdr:row>
      <xdr:rowOff>225877</xdr:rowOff>
    </xdr:from>
    <xdr:to>
      <xdr:col>7</xdr:col>
      <xdr:colOff>1638300</xdr:colOff>
      <xdr:row>20</xdr:row>
      <xdr:rowOff>190500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A47D57E5-6358-437E-B6FE-C826FB299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103457</xdr:colOff>
      <xdr:row>14</xdr:row>
      <xdr:rowOff>158521</xdr:rowOff>
    </xdr:from>
    <xdr:to>
      <xdr:col>3</xdr:col>
      <xdr:colOff>495300</xdr:colOff>
      <xdr:row>20</xdr:row>
      <xdr:rowOff>190500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CB0ED7F0-C3F4-4F8B-81FD-3DFB4CF633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</xdr:colOff>
      <xdr:row>9</xdr:row>
      <xdr:rowOff>95250</xdr:rowOff>
    </xdr:from>
    <xdr:to>
      <xdr:col>13</xdr:col>
      <xdr:colOff>2057400</xdr:colOff>
      <xdr:row>19</xdr:row>
      <xdr:rowOff>381000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F5762E0-346A-4261-A842-D0193AF30A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0</xdr:rowOff>
    </xdr:from>
    <xdr:to>
      <xdr:col>19</xdr:col>
      <xdr:colOff>503123</xdr:colOff>
      <xdr:row>35</xdr:row>
      <xdr:rowOff>128587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7C4340-D386-446E-8BDA-6DBC89C8D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114299</xdr:colOff>
      <xdr:row>2</xdr:row>
      <xdr:rowOff>100011</xdr:rowOff>
    </xdr:from>
    <xdr:to>
      <xdr:col>18</xdr:col>
      <xdr:colOff>542925</xdr:colOff>
      <xdr:row>20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213708-CCE3-7A36-3961-5F0D77248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1F60F-69B8-426E-8712-4B3C81DF72EE}">
  <dimension ref="A1:D20"/>
  <sheetViews>
    <sheetView workbookViewId="0">
      <selection activeCell="A11" sqref="A11"/>
    </sheetView>
  </sheetViews>
  <sheetFormatPr defaultColWidth="8.7109375" defaultRowHeight="17.100000000000001" customHeight="1" x14ac:dyDescent="0.25"/>
  <cols>
    <col min="1" max="1" width="59" style="1" customWidth="1"/>
    <col min="2" max="2" width="27.140625" style="2" customWidth="1"/>
    <col min="3" max="3" width="29.28515625" style="2" customWidth="1"/>
    <col min="4" max="4" width="65.140625" style="2" customWidth="1"/>
    <col min="5" max="16384" width="8.7109375" style="1"/>
  </cols>
  <sheetData>
    <row r="1" spans="1:4" ht="17.100000000000001" customHeight="1" x14ac:dyDescent="0.25">
      <c r="A1" s="1" t="s">
        <v>0</v>
      </c>
      <c r="B1" s="2">
        <f>24*7*6</f>
        <v>1008</v>
      </c>
    </row>
    <row r="2" spans="1:4" ht="17.100000000000001" customHeight="1" x14ac:dyDescent="0.25">
      <c r="A2" s="1" t="s">
        <v>1</v>
      </c>
      <c r="B2" s="2">
        <v>75</v>
      </c>
    </row>
    <row r="3" spans="1:4" ht="17.100000000000001" customHeight="1" x14ac:dyDescent="0.25">
      <c r="A3" s="1" t="s">
        <v>3</v>
      </c>
      <c r="B3" s="2">
        <v>1</v>
      </c>
    </row>
    <row r="4" spans="1:4" ht="17.100000000000001" customHeight="1" x14ac:dyDescent="0.25">
      <c r="A4" s="1" t="s">
        <v>4</v>
      </c>
      <c r="B4" s="2">
        <v>48</v>
      </c>
    </row>
    <row r="5" spans="1:4" ht="17.100000000000001" customHeight="1" x14ac:dyDescent="0.25">
      <c r="A5" s="1" t="s">
        <v>2</v>
      </c>
    </row>
    <row r="6" spans="1:4" ht="17.100000000000001" customHeight="1" x14ac:dyDescent="0.25">
      <c r="A6" s="1" t="s">
        <v>13</v>
      </c>
      <c r="B6" s="3">
        <v>1000000</v>
      </c>
      <c r="C6" s="3"/>
    </row>
    <row r="7" spans="1:4" ht="17.100000000000001" customHeight="1" x14ac:dyDescent="0.25">
      <c r="A7" s="1" t="s">
        <v>14</v>
      </c>
      <c r="B7" s="5">
        <f>0.25</f>
        <v>0.25</v>
      </c>
      <c r="C7" s="3"/>
    </row>
    <row r="9" spans="1:4" ht="39.6" customHeight="1" x14ac:dyDescent="0.25">
      <c r="B9" s="4" t="s">
        <v>10</v>
      </c>
      <c r="C9" s="4" t="s">
        <v>9</v>
      </c>
    </row>
    <row r="10" spans="1:4" ht="17.100000000000001" customHeight="1" x14ac:dyDescent="0.25">
      <c r="A10" s="10" t="s">
        <v>5</v>
      </c>
      <c r="B10" s="11">
        <f>(B6*B7)*0.25</f>
        <v>62500</v>
      </c>
      <c r="C10" s="11">
        <f>B6*0.25</f>
        <v>250000</v>
      </c>
      <c r="D10" s="8" t="s">
        <v>8</v>
      </c>
    </row>
    <row r="11" spans="1:4" ht="17.100000000000001" customHeight="1" x14ac:dyDescent="0.25">
      <c r="A11" s="10" t="s">
        <v>6</v>
      </c>
      <c r="B11" s="11">
        <f>(B6*B7)*0.1</f>
        <v>25000</v>
      </c>
      <c r="C11" s="11">
        <f>B6*0.1</f>
        <v>100000</v>
      </c>
      <c r="D11" s="9" t="s">
        <v>7</v>
      </c>
    </row>
    <row r="12" spans="1:4" ht="17.100000000000001" customHeight="1" x14ac:dyDescent="0.25">
      <c r="A12" s="12" t="s">
        <v>16</v>
      </c>
      <c r="B12" s="13">
        <f>(B3*B4*35)*52</f>
        <v>87360</v>
      </c>
      <c r="C12" s="13">
        <f>(B3*B4*35)*52</f>
        <v>87360</v>
      </c>
      <c r="D12" s="9" t="s">
        <v>17</v>
      </c>
    </row>
    <row r="13" spans="1:4" ht="17.100000000000001" customHeight="1" x14ac:dyDescent="0.25">
      <c r="A13" s="12" t="s">
        <v>15</v>
      </c>
      <c r="B13" s="13">
        <f>0.05*(B6*0.25)</f>
        <v>12500</v>
      </c>
      <c r="C13" s="13">
        <f>0.05*B6</f>
        <v>50000</v>
      </c>
      <c r="D13" s="9" t="s">
        <v>18</v>
      </c>
    </row>
    <row r="14" spans="1:4" ht="17.100000000000001" customHeight="1" x14ac:dyDescent="0.25">
      <c r="A14" s="14" t="s">
        <v>19</v>
      </c>
      <c r="B14" s="15">
        <f>SUM(B10:B13)</f>
        <v>187360</v>
      </c>
      <c r="C14" s="15">
        <f>SUM(C10:C13)</f>
        <v>487360</v>
      </c>
    </row>
    <row r="15" spans="1:4" ht="17.100000000000001" customHeight="1" x14ac:dyDescent="0.25">
      <c r="A15" s="1" t="s">
        <v>11</v>
      </c>
      <c r="B15" s="5">
        <f>(1-B7)</f>
        <v>0.75</v>
      </c>
    </row>
    <row r="16" spans="1:4" ht="17.100000000000001" customHeight="1" x14ac:dyDescent="0.25">
      <c r="A16" s="1" t="s">
        <v>12</v>
      </c>
      <c r="B16" s="3">
        <f>(B7*B6) -((B6*B7)*0.25)</f>
        <v>187500</v>
      </c>
      <c r="C16" s="6"/>
    </row>
    <row r="17" spans="2:3" ht="17.100000000000001" customHeight="1" x14ac:dyDescent="0.25">
      <c r="B17" s="6"/>
    </row>
    <row r="19" spans="2:3" ht="17.100000000000001" customHeight="1" x14ac:dyDescent="0.25">
      <c r="B19" s="7"/>
      <c r="C19" s="6"/>
    </row>
    <row r="20" spans="2:3" ht="17.100000000000001" customHeight="1" x14ac:dyDescent="0.25">
      <c r="B20" s="3"/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EAC0-1FB3-44FF-8BE1-18EDC8AA8E9E}">
  <dimension ref="A1:L74"/>
  <sheetViews>
    <sheetView tabSelected="1" topLeftCell="B1" zoomScaleNormal="100" workbookViewId="0">
      <selection activeCell="A29" sqref="A29"/>
    </sheetView>
  </sheetViews>
  <sheetFormatPr defaultColWidth="9.140625" defaultRowHeight="41.25" customHeight="1" x14ac:dyDescent="0.25"/>
  <cols>
    <col min="1" max="1" width="30.28515625" style="76" customWidth="1"/>
    <col min="2" max="2" width="21.28515625" style="76" customWidth="1"/>
    <col min="3" max="3" width="27.7109375" style="76" customWidth="1"/>
    <col min="4" max="4" width="18.7109375" style="76" customWidth="1"/>
    <col min="5" max="5" width="9.85546875" style="76" customWidth="1"/>
    <col min="6" max="6" width="24.7109375" style="95" customWidth="1"/>
    <col min="7" max="8" width="24.7109375" style="96" customWidth="1"/>
    <col min="9" max="9" width="10.140625" style="96" customWidth="1"/>
    <col min="10" max="10" width="37.7109375" style="96" customWidth="1"/>
    <col min="11" max="25" width="37.7109375" style="76" customWidth="1"/>
    <col min="26" max="16384" width="9.140625" style="76"/>
  </cols>
  <sheetData>
    <row r="1" spans="1:12" ht="77.25" customHeight="1" thickBot="1" x14ac:dyDescent="0.3">
      <c r="K1" s="172"/>
    </row>
    <row r="2" spans="1:12" ht="31.5" customHeight="1" x14ac:dyDescent="0.25">
      <c r="A2" s="173"/>
      <c r="B2" s="173"/>
      <c r="C2" s="173"/>
      <c r="D2" s="173"/>
      <c r="E2" s="173"/>
      <c r="F2" s="175" t="s">
        <v>135</v>
      </c>
      <c r="G2" s="173"/>
      <c r="H2" s="173"/>
      <c r="I2" s="126"/>
      <c r="J2" s="126"/>
      <c r="K2" s="171"/>
      <c r="L2" s="86"/>
    </row>
    <row r="3" spans="1:12" ht="41.25" customHeight="1" x14ac:dyDescent="0.25">
      <c r="A3" s="190" t="s">
        <v>143</v>
      </c>
      <c r="B3" s="191"/>
      <c r="C3" s="191"/>
      <c r="D3" s="191"/>
      <c r="E3" s="191"/>
      <c r="F3" s="174" t="s">
        <v>136</v>
      </c>
      <c r="G3" s="161" t="s">
        <v>137</v>
      </c>
      <c r="H3" s="148" t="s">
        <v>138</v>
      </c>
      <c r="I3" s="179"/>
      <c r="J3" s="160" t="s">
        <v>145</v>
      </c>
      <c r="K3" s="160"/>
    </row>
    <row r="4" spans="1:12" ht="41.25" customHeight="1" thickBot="1" x14ac:dyDescent="0.3">
      <c r="A4" s="192" t="s">
        <v>119</v>
      </c>
      <c r="B4" s="193" t="s">
        <v>140</v>
      </c>
      <c r="C4" s="193"/>
      <c r="D4" s="193"/>
      <c r="E4" s="194"/>
      <c r="F4" s="164">
        <v>50000</v>
      </c>
      <c r="G4" s="180" t="s">
        <v>139</v>
      </c>
      <c r="H4" s="181" t="s">
        <v>139</v>
      </c>
      <c r="I4" s="83"/>
      <c r="J4" s="160"/>
      <c r="K4" s="169"/>
    </row>
    <row r="5" spans="1:12" s="77" customFormat="1" ht="41.25" customHeight="1" x14ac:dyDescent="0.25">
      <c r="A5" s="192" t="s">
        <v>119</v>
      </c>
      <c r="B5" s="195" t="s">
        <v>117</v>
      </c>
      <c r="C5" s="196"/>
      <c r="D5" s="196"/>
      <c r="E5" s="196"/>
      <c r="F5" s="164">
        <v>10000</v>
      </c>
      <c r="G5" s="182">
        <f>IFERROR((((1+H11)*F7)*(1+H7)*F13),"")</f>
        <v>17550.000000000004</v>
      </c>
      <c r="H5" s="183">
        <f>IFERROR(G5-F5,"")</f>
        <v>7550.0000000000036</v>
      </c>
      <c r="I5" s="85"/>
      <c r="J5" s="176"/>
      <c r="K5" s="178" t="s">
        <v>135</v>
      </c>
    </row>
    <row r="6" spans="1:12" s="77" customFormat="1" ht="41.25" customHeight="1" thickBot="1" x14ac:dyDescent="0.3">
      <c r="A6" s="192" t="s">
        <v>119</v>
      </c>
      <c r="B6" s="195" t="s">
        <v>90</v>
      </c>
      <c r="C6" s="196"/>
      <c r="D6" s="196"/>
      <c r="E6" s="196"/>
      <c r="F6" s="165">
        <v>0.41</v>
      </c>
      <c r="G6" s="162">
        <f>F6+H6</f>
        <v>0.45999999999999996</v>
      </c>
      <c r="H6" s="82">
        <f>IF(F14=0,"",VLOOKUP(F4,Lookup!N2:P7,3,TRUE))</f>
        <v>0.05</v>
      </c>
      <c r="I6" s="133"/>
      <c r="J6" s="168" t="s">
        <v>122</v>
      </c>
      <c r="K6" s="177">
        <v>62000</v>
      </c>
      <c r="L6" s="159"/>
    </row>
    <row r="7" spans="1:12" ht="41.25" customHeight="1" x14ac:dyDescent="0.25">
      <c r="A7" s="192" t="s">
        <v>130</v>
      </c>
      <c r="B7" s="195" t="s">
        <v>129</v>
      </c>
      <c r="C7" s="196"/>
      <c r="D7" s="196"/>
      <c r="E7" s="196"/>
      <c r="F7" s="166">
        <v>14</v>
      </c>
      <c r="G7" s="163">
        <f>F7*(1+H7)</f>
        <v>18.2</v>
      </c>
      <c r="H7" s="82">
        <f>IF(F14=0,"",VLOOKUP(F4,Lookup!N2:S7,4,TRUE))</f>
        <v>0.3</v>
      </c>
      <c r="I7" s="133"/>
      <c r="J7" s="158" t="s">
        <v>123</v>
      </c>
      <c r="K7" s="170">
        <f>VLOOKUP(K6,'Payoff '!C2:F121,2,TRUE)</f>
        <v>21</v>
      </c>
      <c r="L7" s="79"/>
    </row>
    <row r="8" spans="1:12" ht="41.25" customHeight="1" thickBot="1" x14ac:dyDescent="0.3">
      <c r="A8" s="192" t="s">
        <v>119</v>
      </c>
      <c r="B8" s="195" t="s">
        <v>61</v>
      </c>
      <c r="C8" s="196"/>
      <c r="D8" s="196"/>
      <c r="E8" s="196"/>
      <c r="F8" s="167">
        <v>6500</v>
      </c>
      <c r="G8" s="184">
        <f>IF(F14=0,"",(1+H11)*F8)</f>
        <v>8775</v>
      </c>
      <c r="H8" s="185">
        <f>G8-F8</f>
        <v>2275</v>
      </c>
      <c r="I8" s="101"/>
      <c r="J8" s="149" t="s">
        <v>146</v>
      </c>
      <c r="K8" s="149"/>
      <c r="L8" s="79"/>
    </row>
    <row r="9" spans="1:12" ht="41.25" customHeight="1" x14ac:dyDescent="0.25">
      <c r="A9" s="197"/>
      <c r="B9" s="197"/>
      <c r="C9" s="197"/>
      <c r="D9" s="197"/>
      <c r="E9" s="197"/>
      <c r="G9" s="186"/>
      <c r="H9" s="186"/>
      <c r="I9" s="97"/>
      <c r="J9" s="83"/>
      <c r="K9" s="86"/>
    </row>
    <row r="10" spans="1:12" ht="41.25" customHeight="1" x14ac:dyDescent="0.25">
      <c r="A10" s="190" t="s">
        <v>144</v>
      </c>
      <c r="B10" s="191"/>
      <c r="C10" s="191"/>
      <c r="D10" s="191"/>
      <c r="E10" s="198"/>
      <c r="F10" s="148" t="s">
        <v>136</v>
      </c>
      <c r="G10" s="187" t="s">
        <v>137</v>
      </c>
      <c r="H10" s="187" t="s">
        <v>138</v>
      </c>
      <c r="I10" s="101"/>
      <c r="J10" s="85"/>
      <c r="K10" s="86"/>
    </row>
    <row r="11" spans="1:12" ht="41.25" customHeight="1" x14ac:dyDescent="0.25">
      <c r="A11" s="192" t="s">
        <v>119</v>
      </c>
      <c r="B11" s="195" t="s">
        <v>148</v>
      </c>
      <c r="C11" s="196"/>
      <c r="D11" s="196"/>
      <c r="E11" s="199"/>
      <c r="F11" s="104">
        <f>IF(F5=0,"",IF(F4-F5&lt;=0,"ERROR",IFERROR(F5/F4,"")))</f>
        <v>0.2</v>
      </c>
      <c r="G11" s="188">
        <f>F11*(1+H11)</f>
        <v>0.27</v>
      </c>
      <c r="H11" s="82">
        <f>IF(F14=0,"",VLOOKUP(F4,Lookup!N2:S7,2,TRUE))</f>
        <v>0.35</v>
      </c>
      <c r="I11" s="105"/>
      <c r="J11" s="91"/>
      <c r="K11" s="86"/>
    </row>
    <row r="12" spans="1:12" ht="41.25" customHeight="1" x14ac:dyDescent="0.25">
      <c r="A12" s="192" t="s">
        <v>119</v>
      </c>
      <c r="B12" s="195" t="s">
        <v>131</v>
      </c>
      <c r="C12" s="196"/>
      <c r="D12" s="196"/>
      <c r="E12" s="199"/>
      <c r="F12" s="109">
        <f>IF(F8=0,"",F5/F8)</f>
        <v>1.5384615384615385</v>
      </c>
      <c r="G12" s="189">
        <f>G5/G8</f>
        <v>2.0000000000000004</v>
      </c>
      <c r="H12" s="189">
        <f>G12-F12</f>
        <v>0.4615384615384619</v>
      </c>
      <c r="I12" s="105"/>
      <c r="J12" s="97"/>
      <c r="K12" s="86"/>
    </row>
    <row r="13" spans="1:12" ht="41.25" customHeight="1" x14ac:dyDescent="0.25">
      <c r="A13" s="192" t="s">
        <v>119</v>
      </c>
      <c r="B13" s="195" t="s">
        <v>132</v>
      </c>
      <c r="C13" s="196"/>
      <c r="D13" s="196"/>
      <c r="E13" s="199"/>
      <c r="F13" s="112">
        <f>IFERROR(F5/F7,"")</f>
        <v>714.28571428571433</v>
      </c>
      <c r="G13" s="185">
        <f>IFERROR(IF(H13=0,"",(1+H13)*F13),":")</f>
        <v>964.28571428571445</v>
      </c>
      <c r="H13" s="82">
        <f>IFERROR(IF(F13=0,"",VLOOKUP(F4,Lookup!N2:S7,2,TRUE)),"")</f>
        <v>0.35</v>
      </c>
      <c r="I13" s="78"/>
      <c r="J13" s="101"/>
      <c r="K13" s="86"/>
    </row>
    <row r="14" spans="1:12" ht="41.25" customHeight="1" x14ac:dyDescent="0.25">
      <c r="A14" s="192" t="s">
        <v>119</v>
      </c>
      <c r="B14" s="195" t="s">
        <v>147</v>
      </c>
      <c r="C14" s="196"/>
      <c r="D14" s="196"/>
      <c r="E14" s="199"/>
      <c r="F14" s="114">
        <f>IF(F12=0,"",IF(F11="ERROR","ERROR",F6*F5))</f>
        <v>4100</v>
      </c>
      <c r="G14" s="183">
        <f>IFERROR((F6+H6)*G5,"")</f>
        <v>8073.0000000000009</v>
      </c>
      <c r="H14" s="183">
        <f>IFERROR(G14-F14,"")</f>
        <v>3973.0000000000009</v>
      </c>
      <c r="I14" s="115"/>
      <c r="J14" s="105"/>
      <c r="K14" s="86"/>
    </row>
    <row r="15" spans="1:12" ht="41.25" customHeight="1" x14ac:dyDescent="0.25">
      <c r="A15" s="78"/>
      <c r="B15" s="78"/>
      <c r="C15" s="78"/>
      <c r="D15" s="78"/>
      <c r="E15" s="78"/>
      <c r="F15" s="105"/>
      <c r="G15" s="105"/>
      <c r="H15" s="105"/>
      <c r="I15" s="117"/>
      <c r="J15" s="105"/>
      <c r="K15" s="86"/>
    </row>
    <row r="16" spans="1:12" ht="41.25" customHeight="1" x14ac:dyDescent="0.25">
      <c r="A16" s="78"/>
      <c r="B16" s="78"/>
      <c r="C16" s="78"/>
      <c r="D16" s="78"/>
      <c r="E16" s="78"/>
      <c r="F16" s="105"/>
      <c r="G16" s="105"/>
      <c r="H16" s="105"/>
      <c r="I16" s="101"/>
      <c r="J16" s="78"/>
      <c r="K16" s="86"/>
    </row>
    <row r="17" spans="1:11" ht="41.25" customHeight="1" x14ac:dyDescent="0.25">
      <c r="A17" s="78"/>
      <c r="B17" s="78"/>
      <c r="C17" s="78"/>
      <c r="D17" s="78"/>
      <c r="E17" s="78"/>
      <c r="F17" s="105"/>
      <c r="G17" s="105"/>
      <c r="H17" s="105"/>
      <c r="I17" s="122"/>
      <c r="J17" s="115"/>
      <c r="K17" s="86"/>
    </row>
    <row r="18" spans="1:11" ht="41.25" customHeight="1" x14ac:dyDescent="0.25">
      <c r="A18" s="78"/>
      <c r="B18" s="78"/>
      <c r="C18" s="78"/>
      <c r="D18" s="78"/>
      <c r="E18" s="78"/>
      <c r="F18" s="105"/>
      <c r="G18" s="105"/>
      <c r="H18" s="105"/>
      <c r="J18" s="117"/>
      <c r="K18" s="86"/>
    </row>
    <row r="19" spans="1:11" ht="41.25" customHeight="1" x14ac:dyDescent="0.25">
      <c r="A19" s="78"/>
      <c r="B19" s="78"/>
      <c r="C19" s="78"/>
      <c r="D19" s="78"/>
      <c r="E19" s="78"/>
      <c r="F19" s="105"/>
      <c r="G19" s="105"/>
      <c r="H19" s="105"/>
      <c r="J19" s="101"/>
      <c r="K19" s="86"/>
    </row>
    <row r="20" spans="1:11" ht="41.25" customHeight="1" x14ac:dyDescent="0.25">
      <c r="A20" s="78"/>
      <c r="B20" s="78"/>
      <c r="C20" s="78"/>
      <c r="D20" s="78"/>
      <c r="E20" s="78"/>
      <c r="F20" s="105"/>
      <c r="G20" s="105"/>
      <c r="H20" s="105"/>
      <c r="J20" s="122"/>
      <c r="K20" s="86"/>
    </row>
    <row r="21" spans="1:11" ht="41.25" customHeight="1" x14ac:dyDescent="0.25">
      <c r="A21" s="78"/>
      <c r="B21" s="78"/>
      <c r="C21" s="78"/>
      <c r="D21" s="78"/>
      <c r="E21" s="78"/>
      <c r="F21" s="105"/>
      <c r="G21" s="105"/>
      <c r="H21" s="105"/>
      <c r="K21" s="86"/>
    </row>
    <row r="22" spans="1:11" ht="41.25" customHeight="1" x14ac:dyDescent="0.25">
      <c r="A22" s="78"/>
      <c r="B22" s="78"/>
      <c r="C22" s="78"/>
      <c r="D22" s="78"/>
      <c r="E22" s="78"/>
      <c r="F22" s="105"/>
      <c r="G22" s="105"/>
      <c r="H22" s="105"/>
      <c r="K22" s="86"/>
    </row>
    <row r="23" spans="1:11" ht="41.25" customHeight="1" x14ac:dyDescent="0.25">
      <c r="A23" s="78"/>
      <c r="B23" s="78"/>
      <c r="C23" s="78"/>
      <c r="D23" s="78"/>
      <c r="E23" s="78"/>
      <c r="F23" s="105"/>
      <c r="G23" s="105"/>
      <c r="H23" s="105"/>
      <c r="K23" s="86"/>
    </row>
    <row r="24" spans="1:11" ht="41.25" customHeight="1" x14ac:dyDescent="0.25">
      <c r="A24" s="78"/>
      <c r="B24" s="78"/>
      <c r="C24" s="78"/>
      <c r="D24" s="78"/>
      <c r="E24" s="78"/>
      <c r="F24" s="105"/>
      <c r="G24" s="105"/>
      <c r="H24" s="105"/>
      <c r="K24" s="86"/>
    </row>
    <row r="25" spans="1:11" ht="41.25" customHeight="1" x14ac:dyDescent="0.25">
      <c r="A25" s="126"/>
      <c r="B25" s="126"/>
      <c r="C25" s="126"/>
      <c r="D25" s="126"/>
      <c r="E25" s="126"/>
      <c r="F25" s="75"/>
      <c r="G25" s="105"/>
      <c r="H25" s="105"/>
      <c r="I25" s="105"/>
      <c r="K25" s="86"/>
    </row>
    <row r="26" spans="1:11" ht="41.25" customHeight="1" x14ac:dyDescent="0.25">
      <c r="A26" s="126"/>
      <c r="B26" s="126"/>
      <c r="C26" s="126"/>
      <c r="D26" s="126"/>
      <c r="E26" s="126"/>
      <c r="F26" s="75"/>
      <c r="G26" s="128"/>
      <c r="H26" s="128"/>
      <c r="I26" s="75"/>
      <c r="K26" s="86"/>
    </row>
    <row r="27" spans="1:11" ht="41.25" customHeight="1" x14ac:dyDescent="0.25">
      <c r="A27" s="78"/>
      <c r="B27" s="78"/>
      <c r="C27" s="78"/>
      <c r="D27" s="78"/>
      <c r="E27" s="78"/>
      <c r="F27" s="105"/>
      <c r="G27" s="105"/>
      <c r="H27" s="105"/>
      <c r="I27" s="105"/>
      <c r="K27" s="127"/>
    </row>
    <row r="28" spans="1:11" ht="41.25" customHeight="1" x14ac:dyDescent="0.25">
      <c r="A28" s="78"/>
      <c r="B28" s="78"/>
      <c r="C28" s="78"/>
      <c r="D28" s="78"/>
      <c r="E28" s="78"/>
      <c r="F28" s="105"/>
      <c r="G28" s="105"/>
      <c r="H28" s="105"/>
      <c r="I28" s="105"/>
      <c r="J28" s="105"/>
      <c r="K28" s="127"/>
    </row>
    <row r="29" spans="1:11" ht="41.25" customHeight="1" x14ac:dyDescent="0.25">
      <c r="A29" s="74"/>
      <c r="B29" s="129"/>
      <c r="C29" s="129"/>
      <c r="D29" s="129"/>
      <c r="E29" s="129"/>
      <c r="F29" s="128"/>
      <c r="G29" s="105"/>
      <c r="H29" s="105"/>
      <c r="I29" s="128"/>
      <c r="J29" s="75"/>
      <c r="K29" s="127"/>
    </row>
    <row r="30" spans="1:11" ht="41.25" customHeight="1" x14ac:dyDescent="0.25">
      <c r="A30" s="78"/>
      <c r="B30" s="78"/>
      <c r="C30" s="78"/>
      <c r="D30" s="78"/>
      <c r="E30" s="78"/>
      <c r="F30" s="105"/>
      <c r="G30" s="105"/>
      <c r="H30" s="105"/>
      <c r="I30" s="105"/>
      <c r="J30" s="105"/>
      <c r="K30" s="127"/>
    </row>
    <row r="31" spans="1:11" ht="41.25" customHeight="1" x14ac:dyDescent="0.25">
      <c r="A31" s="78"/>
      <c r="B31" s="78"/>
      <c r="C31" s="78"/>
      <c r="D31" s="78"/>
      <c r="E31" s="78"/>
      <c r="F31" s="105"/>
      <c r="G31" s="105"/>
      <c r="H31" s="105"/>
      <c r="I31" s="105"/>
      <c r="J31" s="105"/>
      <c r="K31" s="127"/>
    </row>
    <row r="32" spans="1:11" ht="41.25" customHeight="1" x14ac:dyDescent="0.25">
      <c r="A32" s="78"/>
      <c r="B32" s="78"/>
      <c r="C32" s="78"/>
      <c r="D32" s="78"/>
      <c r="E32" s="78"/>
      <c r="F32" s="105"/>
      <c r="G32" s="105"/>
      <c r="H32" s="105"/>
      <c r="I32" s="105"/>
      <c r="J32" s="128"/>
      <c r="K32" s="127"/>
    </row>
    <row r="33" spans="1:11" ht="41.25" customHeight="1" x14ac:dyDescent="0.25">
      <c r="A33" s="78"/>
      <c r="B33" s="78"/>
      <c r="C33" s="78"/>
      <c r="D33" s="78"/>
      <c r="E33" s="78"/>
      <c r="F33" s="105"/>
      <c r="G33" s="105"/>
      <c r="H33" s="105"/>
      <c r="I33" s="105"/>
      <c r="J33" s="105"/>
      <c r="K33" s="127"/>
    </row>
    <row r="34" spans="1:11" ht="41.25" customHeight="1" x14ac:dyDescent="0.25">
      <c r="A34" s="78"/>
      <c r="B34" s="78"/>
      <c r="C34" s="78"/>
      <c r="D34" s="78"/>
      <c r="E34" s="78"/>
      <c r="F34" s="105"/>
      <c r="G34" s="105"/>
      <c r="H34" s="105"/>
      <c r="I34" s="105"/>
      <c r="J34" s="105"/>
      <c r="K34" s="127"/>
    </row>
    <row r="35" spans="1:11" ht="41.25" customHeight="1" x14ac:dyDescent="0.25">
      <c r="A35" s="78"/>
      <c r="B35" s="78"/>
      <c r="C35" s="78"/>
      <c r="D35" s="78"/>
      <c r="E35" s="78"/>
      <c r="F35" s="105"/>
      <c r="G35" s="105"/>
      <c r="H35" s="105"/>
      <c r="I35" s="105"/>
      <c r="J35" s="105"/>
      <c r="K35" s="127"/>
    </row>
    <row r="36" spans="1:11" ht="41.25" customHeight="1" x14ac:dyDescent="0.25">
      <c r="A36" s="78"/>
      <c r="B36" s="78"/>
      <c r="C36" s="78"/>
      <c r="D36" s="78"/>
      <c r="E36" s="78"/>
      <c r="F36" s="105"/>
      <c r="G36" s="105"/>
      <c r="H36" s="105"/>
      <c r="I36" s="105"/>
      <c r="J36" s="105"/>
      <c r="K36" s="127"/>
    </row>
    <row r="37" spans="1:11" ht="41.25" customHeight="1" x14ac:dyDescent="0.25">
      <c r="A37" s="78"/>
      <c r="B37" s="78"/>
      <c r="C37" s="78"/>
      <c r="D37" s="78"/>
      <c r="E37" s="78"/>
      <c r="F37" s="105"/>
      <c r="G37" s="78"/>
      <c r="H37" s="78"/>
      <c r="I37" s="105"/>
      <c r="J37" s="105"/>
      <c r="K37" s="127"/>
    </row>
    <row r="38" spans="1:11" ht="41.25" customHeight="1" x14ac:dyDescent="0.25">
      <c r="A38" s="78"/>
      <c r="B38" s="78"/>
      <c r="C38" s="78"/>
      <c r="D38" s="78"/>
      <c r="E38" s="78"/>
      <c r="F38" s="105"/>
      <c r="G38" s="78"/>
      <c r="H38" s="78"/>
      <c r="I38" s="105"/>
      <c r="J38" s="105"/>
      <c r="K38" s="127"/>
    </row>
    <row r="39" spans="1:11" ht="41.25" customHeight="1" x14ac:dyDescent="0.25">
      <c r="A39" s="78"/>
      <c r="B39" s="78"/>
      <c r="C39" s="78"/>
      <c r="D39" s="78"/>
      <c r="E39" s="78"/>
      <c r="F39" s="105"/>
      <c r="G39" s="78"/>
      <c r="H39" s="78"/>
      <c r="I39" s="105"/>
      <c r="J39" s="105"/>
      <c r="K39" s="127"/>
    </row>
    <row r="40" spans="1:11" ht="41.25" customHeight="1" x14ac:dyDescent="0.25">
      <c r="A40" s="127"/>
      <c r="B40" s="127"/>
      <c r="C40" s="127"/>
      <c r="D40" s="127"/>
      <c r="E40" s="127"/>
      <c r="F40" s="78"/>
      <c r="G40" s="105"/>
      <c r="H40" s="105"/>
      <c r="I40" s="78"/>
      <c r="J40" s="105"/>
      <c r="K40" s="127"/>
    </row>
    <row r="41" spans="1:11" ht="41.25" customHeight="1" x14ac:dyDescent="0.25">
      <c r="A41" s="127"/>
      <c r="B41" s="127"/>
      <c r="C41" s="127"/>
      <c r="D41" s="127"/>
      <c r="E41" s="127"/>
      <c r="F41" s="78"/>
      <c r="G41" s="105"/>
      <c r="H41" s="105"/>
      <c r="I41" s="78"/>
      <c r="J41" s="105"/>
      <c r="K41" s="127"/>
    </row>
    <row r="42" spans="1:11" ht="41.25" customHeight="1" x14ac:dyDescent="0.25">
      <c r="A42" s="127"/>
      <c r="B42" s="127"/>
      <c r="C42" s="127"/>
      <c r="D42" s="127"/>
      <c r="E42" s="127"/>
      <c r="F42" s="78"/>
      <c r="G42" s="105"/>
      <c r="H42" s="105"/>
      <c r="I42" s="78"/>
      <c r="J42" s="105"/>
      <c r="K42" s="127"/>
    </row>
    <row r="43" spans="1:11" ht="41.25" customHeight="1" x14ac:dyDescent="0.25">
      <c r="A43" s="78"/>
      <c r="B43" s="78"/>
      <c r="C43" s="78"/>
      <c r="D43" s="78"/>
      <c r="E43" s="78"/>
      <c r="F43" s="105"/>
      <c r="G43" s="105"/>
      <c r="H43" s="105"/>
      <c r="I43" s="105"/>
      <c r="J43" s="78"/>
      <c r="K43" s="127"/>
    </row>
    <row r="44" spans="1:11" ht="41.25" customHeight="1" x14ac:dyDescent="0.25">
      <c r="I44" s="105"/>
      <c r="J44" s="78"/>
      <c r="K44" s="127"/>
    </row>
    <row r="45" spans="1:11" ht="41.25" customHeight="1" x14ac:dyDescent="0.25">
      <c r="I45" s="105"/>
      <c r="J45" s="78"/>
      <c r="K45" s="127"/>
    </row>
    <row r="46" spans="1:11" ht="41.25" customHeight="1" x14ac:dyDescent="0.25">
      <c r="G46" s="130"/>
      <c r="H46" s="130"/>
      <c r="J46" s="105"/>
      <c r="K46" s="127"/>
    </row>
    <row r="47" spans="1:11" ht="41.25" customHeight="1" x14ac:dyDescent="0.25">
      <c r="G47" s="130"/>
      <c r="H47" s="130"/>
      <c r="J47" s="105"/>
      <c r="K47" s="127"/>
    </row>
    <row r="48" spans="1:11" ht="41.25" customHeight="1" x14ac:dyDescent="0.25">
      <c r="G48" s="101"/>
      <c r="H48" s="101"/>
      <c r="J48" s="105"/>
      <c r="K48" s="86"/>
    </row>
    <row r="49" spans="2:10" ht="41.25" customHeight="1" x14ac:dyDescent="0.25">
      <c r="G49" s="133"/>
      <c r="H49" s="133"/>
      <c r="I49" s="130"/>
    </row>
    <row r="50" spans="2:10" ht="41.25" customHeight="1" x14ac:dyDescent="0.25">
      <c r="G50" s="133"/>
      <c r="H50" s="133"/>
      <c r="I50" s="130"/>
    </row>
    <row r="51" spans="2:10" ht="41.25" customHeight="1" x14ac:dyDescent="0.25">
      <c r="I51" s="101"/>
    </row>
    <row r="52" spans="2:10" ht="41.25" customHeight="1" x14ac:dyDescent="0.25">
      <c r="G52" s="78"/>
      <c r="H52" s="78"/>
      <c r="I52" s="133"/>
      <c r="J52" s="130"/>
    </row>
    <row r="53" spans="2:10" ht="41.25" customHeight="1" x14ac:dyDescent="0.25">
      <c r="G53" s="85"/>
      <c r="H53" s="85"/>
      <c r="I53" s="133"/>
      <c r="J53" s="130"/>
    </row>
    <row r="54" spans="2:10" ht="41.25" customHeight="1" x14ac:dyDescent="0.25">
      <c r="G54" s="85"/>
      <c r="H54" s="85"/>
      <c r="J54" s="101"/>
    </row>
    <row r="55" spans="2:10" ht="41.25" customHeight="1" x14ac:dyDescent="0.25">
      <c r="G55" s="85"/>
      <c r="H55" s="85"/>
      <c r="I55" s="78"/>
      <c r="J55" s="133"/>
    </row>
    <row r="56" spans="2:10" ht="41.25" customHeight="1" x14ac:dyDescent="0.25">
      <c r="G56" s="85"/>
      <c r="H56" s="85"/>
      <c r="I56" s="85"/>
      <c r="J56" s="133"/>
    </row>
    <row r="57" spans="2:10" ht="41.25" customHeight="1" x14ac:dyDescent="0.25">
      <c r="G57" s="105"/>
      <c r="H57" s="105"/>
      <c r="I57" s="85"/>
    </row>
    <row r="58" spans="2:10" ht="41.25" customHeight="1" x14ac:dyDescent="0.25">
      <c r="G58" s="78"/>
      <c r="H58" s="78"/>
      <c r="I58" s="85"/>
      <c r="J58" s="78"/>
    </row>
    <row r="59" spans="2:10" ht="41.25" customHeight="1" x14ac:dyDescent="0.25">
      <c r="I59" s="85"/>
      <c r="J59" s="85"/>
    </row>
    <row r="60" spans="2:10" ht="41.25" customHeight="1" x14ac:dyDescent="0.25">
      <c r="I60" s="105"/>
      <c r="J60" s="85"/>
    </row>
    <row r="61" spans="2:10" ht="41.25" customHeight="1" x14ac:dyDescent="0.25">
      <c r="I61" s="78"/>
      <c r="J61" s="85"/>
    </row>
    <row r="62" spans="2:10" ht="41.25" customHeight="1" x14ac:dyDescent="0.25">
      <c r="B62" s="147"/>
      <c r="C62" s="147"/>
      <c r="D62" s="147"/>
      <c r="E62" s="147"/>
      <c r="J62" s="85"/>
    </row>
    <row r="63" spans="2:10" ht="41.25" customHeight="1" x14ac:dyDescent="0.25">
      <c r="B63" s="147"/>
      <c r="C63" s="147"/>
      <c r="D63" s="147"/>
      <c r="E63" s="147"/>
      <c r="J63" s="105"/>
    </row>
    <row r="64" spans="2:10" ht="41.25" customHeight="1" x14ac:dyDescent="0.25">
      <c r="B64" s="147"/>
      <c r="C64" s="147"/>
      <c r="D64" s="147"/>
      <c r="E64" s="147"/>
      <c r="J64" s="78"/>
    </row>
    <row r="65" spans="2:5" ht="41.25" customHeight="1" x14ac:dyDescent="0.25">
      <c r="B65" s="147"/>
      <c r="C65" s="147"/>
      <c r="D65" s="147"/>
      <c r="E65" s="147"/>
    </row>
    <row r="66" spans="2:5" ht="41.25" customHeight="1" x14ac:dyDescent="0.25">
      <c r="B66" s="147"/>
      <c r="C66" s="147"/>
      <c r="D66" s="147"/>
      <c r="E66" s="147"/>
    </row>
    <row r="67" spans="2:5" ht="41.25" customHeight="1" x14ac:dyDescent="0.25">
      <c r="B67" s="147"/>
      <c r="C67" s="147"/>
      <c r="D67" s="147"/>
      <c r="E67" s="147"/>
    </row>
    <row r="68" spans="2:5" ht="41.25" customHeight="1" x14ac:dyDescent="0.25">
      <c r="B68" s="147"/>
      <c r="C68" s="147"/>
      <c r="D68" s="147"/>
      <c r="E68" s="147"/>
    </row>
    <row r="69" spans="2:5" ht="41.25" customHeight="1" x14ac:dyDescent="0.25">
      <c r="B69" s="147"/>
      <c r="C69" s="147"/>
      <c r="D69" s="147"/>
      <c r="E69" s="147"/>
    </row>
    <row r="70" spans="2:5" ht="41.25" customHeight="1" x14ac:dyDescent="0.25">
      <c r="B70" s="147"/>
      <c r="C70" s="147"/>
      <c r="D70" s="147"/>
      <c r="E70" s="147"/>
    </row>
    <row r="71" spans="2:5" ht="41.25" customHeight="1" x14ac:dyDescent="0.25">
      <c r="B71" s="147"/>
      <c r="C71" s="147"/>
      <c r="D71" s="147"/>
      <c r="E71" s="147"/>
    </row>
    <row r="72" spans="2:5" ht="41.25" customHeight="1" x14ac:dyDescent="0.25">
      <c r="B72" s="147"/>
      <c r="C72" s="147"/>
      <c r="D72" s="147"/>
      <c r="E72" s="147"/>
    </row>
    <row r="73" spans="2:5" ht="41.25" customHeight="1" x14ac:dyDescent="0.25">
      <c r="B73" s="147"/>
      <c r="C73" s="147"/>
      <c r="D73" s="147"/>
      <c r="E73" s="147"/>
    </row>
    <row r="74" spans="2:5" ht="41.25" customHeight="1" x14ac:dyDescent="0.25">
      <c r="B74" s="147"/>
      <c r="C74" s="147"/>
      <c r="D74" s="147"/>
      <c r="E74" s="147"/>
    </row>
  </sheetData>
  <sheetProtection algorithmName="SHA-512" hashValue="Exbyy57JQf1JHrc+NnpnHjYFbJz3OaGchFcb3eVe3bosan6r/bdAm/Ioiwznbc2UM/ilrPLC2ufwgT/7sgsx0Q==" saltValue="Tj96wtDhhglvuv4czve6lw==" spinCount="100000" sheet="1" selectLockedCells="1"/>
  <mergeCells count="12">
    <mergeCell ref="J8:K8"/>
    <mergeCell ref="A3:E3"/>
    <mergeCell ref="A10:E10"/>
    <mergeCell ref="B11:E11"/>
    <mergeCell ref="B14:E14"/>
    <mergeCell ref="B13:E13"/>
    <mergeCell ref="J3:K4"/>
    <mergeCell ref="B12:E12"/>
    <mergeCell ref="B8:E8"/>
    <mergeCell ref="B5:E5"/>
    <mergeCell ref="B6:E6"/>
    <mergeCell ref="B7:E7"/>
  </mergeCells>
  <conditionalFormatting sqref="J3">
    <cfRule type="containsText" dxfId="12" priority="7" operator="containsText" text="3">
      <formula>NOT(ISERROR(SEARCH("3",J3)))</formula>
    </cfRule>
  </conditionalFormatting>
  <conditionalFormatting sqref="H5:I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H11:H14">
    <cfRule type="cellIs" dxfId="9" priority="1" operator="lessThan">
      <formula>0</formula>
    </cfRule>
    <cfRule type="cellIs" dxfId="8" priority="2" operator="greaterThan">
      <formula>0</formula>
    </cfRule>
  </conditionalFormatting>
  <dataValidations xWindow="70" yWindow="537" count="10">
    <dataValidation allowBlank="1" showInputMessage="1" showErrorMessage="1" promptTitle="Better Workforce" prompt="The need for &quot;Bin Fillers&quot; is greatly reduced - more free time means more strategic types of activities." sqref="A29" xr:uid="{D2B3EDAD-D5F0-4EB2-A59B-E3434859EBBD}"/>
    <dataValidation allowBlank="1" showInputMessage="1" showErrorMessage="1" promptTitle="Total Spend" prompt="The total dollar amount this SINGLE customer spends on inventory MONTHLY with all distributors" sqref="A4" xr:uid="{7A79A2DA-30A0-44FF-89E5-230C50861A87}"/>
    <dataValidation allowBlank="1" showInputMessage="1" showErrorMessage="1" promptTitle="Market Share" prompt="How much of this target customer montly spend on inventory are you capturing?" sqref="A5" xr:uid="{FAAA6CA5-0C2B-4F06-9D2F-09AE9014F6DB}"/>
    <dataValidation allowBlank="1" showInputMessage="1" showErrorMessage="1" promptTitle="GP%" prompt="What is your average gross profit on this customer's buisness or you can use average GP% across the company" sqref="A6" xr:uid="{941A3435-0364-426D-812D-9B1FD678B4A8}"/>
    <dataValidation allowBlank="1" showInputMessage="1" showErrorMessage="1" promptTitle="SKU Count" prompt="How much of this target customer montly spend on inventory are you capturing?" sqref="A8" xr:uid="{10AE5C15-EF95-4F88-841E-5B78455B6027}"/>
    <dataValidation allowBlank="1" showInputMessage="1" showErrorMessage="1" promptTitle="Average Line Value" prompt="This is the total value of all of the orders placed divided by the total number of lines processed for a given_x000a_ period - in this case, monthly" sqref="A7" xr:uid="{B3B5C1CD-A425-4161-AC92-4453159DA4D5}"/>
    <dataValidation allowBlank="1" showInputMessage="1" showErrorMessage="1" promptTitle="Current Marketshare" prompt="This is your current marketshare at your customer based on thier total spend on inventory and how much of that you manage" sqref="A11" xr:uid="{1080E511-8594-46DE-A297-3C5E8BCC82ED}"/>
    <dataValidation allowBlank="1" showInputMessage="1" showErrorMessage="1" promptTitle="Average Cost Per SKU" prompt="Rough estimate based on total customer spend you manage and how many lines are processed and average line value (ALV)" sqref="A12" xr:uid="{ABB75D32-598D-4C09-8725-1E3803271D7B}"/>
    <dataValidation allowBlank="1" showInputMessage="1" showErrorMessage="1" promptTitle="LInes Processed Per Month" prompt="How many lines on average each order contains for this customer (Total Spend you are Managing / Average Line Value)" sqref="A13" xr:uid="{1628DBB8-0AD9-46AD-919F-EF2A28732E37}"/>
    <dataValidation allowBlank="1" showInputMessage="1" showErrorMessage="1" promptTitle="Calcualted GP Dollars" prompt="Your gross profit dollars based on your stated GP% and  total spend managed at this customer" sqref="A14" xr:uid="{8B4CB83F-6022-4353-88E3-A3AEED279BC2}"/>
  </dataValidations>
  <pageMargins left="0.7" right="0.7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70" yWindow="537" count="1">
        <x14:dataValidation type="list" allowBlank="1" showInputMessage="1" showErrorMessage="1" xr:uid="{319E242F-2244-4C94-96B4-3CEFF26C9EDE}">
          <x14:formula1>
            <xm:f>Lookup!$E$1:$E$75</xm:f>
          </x14:formula1>
          <xm:sqref>F6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C0A6-3DC3-4647-95ED-E22F3AD0D590}">
  <dimension ref="A1:F13"/>
  <sheetViews>
    <sheetView workbookViewId="0">
      <selection activeCell="M7" sqref="M7"/>
    </sheetView>
  </sheetViews>
  <sheetFormatPr defaultRowHeight="15" x14ac:dyDescent="0.25"/>
  <sheetData>
    <row r="1" spans="1:6" ht="15.75" x14ac:dyDescent="0.25">
      <c r="A1" s="66" t="s">
        <v>119</v>
      </c>
      <c r="B1" s="131" t="s">
        <v>141</v>
      </c>
      <c r="C1" s="131"/>
      <c r="D1" s="131"/>
      <c r="E1" s="131"/>
      <c r="F1" s="132">
        <v>28</v>
      </c>
    </row>
    <row r="2" spans="1:6" ht="15.75" x14ac:dyDescent="0.25">
      <c r="A2" s="66" t="s">
        <v>119</v>
      </c>
      <c r="B2" s="131" t="s">
        <v>62</v>
      </c>
      <c r="C2" s="131"/>
      <c r="D2" s="131"/>
      <c r="E2" s="131"/>
      <c r="F2" s="132"/>
    </row>
    <row r="3" spans="1:6" ht="15.75" x14ac:dyDescent="0.25">
      <c r="A3" s="67" t="s">
        <v>118</v>
      </c>
      <c r="B3" s="131" t="s">
        <v>63</v>
      </c>
      <c r="C3" s="131"/>
      <c r="D3" s="131"/>
      <c r="E3" s="131"/>
      <c r="F3" s="134">
        <f>IF('ROI Calc'!F14=0,"",ROUNDUP((F2*1.25)-F2,0))</f>
        <v>0</v>
      </c>
    </row>
    <row r="4" spans="1:6" ht="15.75" x14ac:dyDescent="0.25">
      <c r="A4" s="67" t="s">
        <v>118</v>
      </c>
      <c r="B4" s="131" t="s">
        <v>64</v>
      </c>
      <c r="C4" s="131"/>
      <c r="D4" s="131"/>
      <c r="E4" s="131"/>
      <c r="F4" s="135">
        <f>IF('ROI Calc'!F14=0,"",VLOOKUP('ROI Calc'!F4,Lookup!N2:S7,6,TRUE))</f>
        <v>0.4</v>
      </c>
    </row>
    <row r="5" spans="1:6" ht="15.75" x14ac:dyDescent="0.25">
      <c r="A5" s="67" t="s">
        <v>118</v>
      </c>
      <c r="B5" s="131" t="s">
        <v>115</v>
      </c>
      <c r="C5" s="131"/>
      <c r="D5" s="131"/>
      <c r="E5" s="131"/>
      <c r="F5" s="135">
        <f>IF('ROI Calc'!F14=0,"",VLOOKUP('ROI Calc'!F4,Lookup!N2:S7,5,TRUE))</f>
        <v>0.4</v>
      </c>
    </row>
    <row r="6" spans="1:6" x14ac:dyDescent="0.25">
      <c r="A6" s="76"/>
      <c r="B6" s="76"/>
      <c r="C6" s="76"/>
      <c r="D6" s="76"/>
      <c r="E6" s="76"/>
      <c r="F6" s="95"/>
    </row>
    <row r="7" spans="1:6" ht="15.75" x14ac:dyDescent="0.25">
      <c r="A7" s="131" t="s">
        <v>142</v>
      </c>
      <c r="B7" s="131"/>
      <c r="C7" s="131"/>
      <c r="D7" s="131"/>
      <c r="E7" s="131"/>
      <c r="F7" s="136"/>
    </row>
    <row r="8" spans="1:6" ht="120" x14ac:dyDescent="0.25">
      <c r="A8" s="67" t="s">
        <v>118</v>
      </c>
      <c r="B8" s="137" t="s">
        <v>113</v>
      </c>
      <c r="C8" s="137"/>
      <c r="D8" s="137"/>
      <c r="E8" s="137"/>
      <c r="F8" s="138">
        <f>IFERROR('ROI Calc'!G5*F3,"")</f>
        <v>0</v>
      </c>
    </row>
    <row r="9" spans="1:6" ht="90" x14ac:dyDescent="0.25">
      <c r="A9" s="67" t="s">
        <v>118</v>
      </c>
      <c r="B9" s="139" t="s">
        <v>112</v>
      </c>
      <c r="C9" s="140"/>
      <c r="D9" s="140"/>
      <c r="E9" s="141"/>
      <c r="F9" s="138">
        <f>IFERROR('ROI Calc'!G14*F3,"")</f>
        <v>0</v>
      </c>
    </row>
    <row r="10" spans="1:6" ht="15.75" x14ac:dyDescent="0.25">
      <c r="A10" s="67" t="s">
        <v>118</v>
      </c>
      <c r="B10" s="68" t="s">
        <v>104</v>
      </c>
      <c r="C10" s="68"/>
      <c r="D10" s="68"/>
      <c r="E10" s="68"/>
      <c r="F10" s="138">
        <f>'ROI Calc'!G5</f>
        <v>17550.000000000004</v>
      </c>
    </row>
    <row r="11" spans="1:6" ht="15.75" x14ac:dyDescent="0.25">
      <c r="A11" s="131"/>
      <c r="B11" s="142" t="s">
        <v>105</v>
      </c>
      <c r="C11" s="142"/>
      <c r="D11" s="142"/>
      <c r="E11" s="142"/>
      <c r="F11" s="138">
        <f>IFERROR('ROI Calc'!G5*(F3+F2),"")</f>
        <v>0</v>
      </c>
    </row>
    <row r="12" spans="1:6" x14ac:dyDescent="0.25">
      <c r="A12" s="131"/>
      <c r="B12" s="68" t="s">
        <v>116</v>
      </c>
      <c r="C12" s="68"/>
      <c r="D12" s="68"/>
      <c r="E12" s="68"/>
      <c r="F12" s="143">
        <f>'ROI Calc'!F5*F2</f>
        <v>0</v>
      </c>
    </row>
    <row r="13" spans="1:6" ht="15.75" thickBot="1" x14ac:dyDescent="0.3">
      <c r="A13" s="144" t="s">
        <v>114</v>
      </c>
      <c r="B13" s="145"/>
      <c r="C13" s="145"/>
      <c r="D13" s="145"/>
      <c r="E13" s="145"/>
      <c r="F13" s="146"/>
    </row>
  </sheetData>
  <conditionalFormatting sqref="F3:F5">
    <cfRule type="cellIs" dxfId="7" priority="1" operator="equal">
      <formula>0</formula>
    </cfRule>
    <cfRule type="cellIs" dxfId="6" priority="2" operator="lessThan">
      <formula>0</formula>
    </cfRule>
    <cfRule type="cellIs" dxfId="5" priority="3" operator="greaterThan">
      <formula>0</formula>
    </cfRule>
  </conditionalFormatting>
  <conditionalFormatting sqref="F8:F11">
    <cfRule type="cellIs" dxfId="4" priority="4" operator="equal">
      <formula>0</formula>
    </cfRule>
    <cfRule type="cellIs" dxfId="3" priority="5" operator="lessThan">
      <formula>0</formula>
    </cfRule>
    <cfRule type="cellIs" dxfId="2" priority="6" operator="greaterThan">
      <formula>0</formula>
    </cfRule>
  </conditionalFormatting>
  <dataValidations count="8">
    <dataValidation allowBlank="1" showInputMessage="1" showErrorMessage="1" promptTitle="Existing Accounts" prompt="If these inventory management practices are applied accross other existing accounts - you will see even more additional monthly revenue" sqref="A10" xr:uid="{A530DF3E-7943-45D1-94B3-1DED0CFC899F}"/>
    <dataValidation allowBlank="1" showInputMessage="1" showErrorMessage="1" promptTitle="New Accounts" prompt="This is the increased REVENUE due to adding accounts due to the time savings for the account manager" sqref="A8" xr:uid="{FD2E783C-1624-4018-94FF-288536CCE79B}"/>
    <dataValidation allowBlank="1" showInputMessage="1" showErrorMessage="1" promptTitle="Accounts Per Rep" prompt="On average how many accounts does each account manager call on per month" sqref="A2" xr:uid="{0C145F20-CF38-4E01-83AE-D840E35D7940}"/>
    <dataValidation allowBlank="1" showInputMessage="1" showErrorMessage="1" promptTitle="Market Share" prompt="How many SKUs make up your spend at this customer?" sqref="A1" xr:uid="{B1BF9019-7727-41F9-A66B-50C4D7B45A70}"/>
    <dataValidation allowBlank="1" showInputMessage="1" showErrorMessage="1" promptTitle="Better Workforce" prompt="The need for &quot;Bin Fillers&quot; is greatly reduced - more free time means more strategic types of activities." sqref="A9 A4" xr:uid="{D2B3EDAD-D5F0-4EB2-A59B-E3434859EBBD}"/>
    <dataValidation allowBlank="1" showInputMessage="1" showErrorMessage="1" promptTitle="More Accounts" prompt="Comes from the account manager being able to devote more of their time to new accounts.  Their bandwidth increases." sqref="A3" xr:uid="{DFB74D0B-7120-4370-94A3-E63E983E8DF4}"/>
    <dataValidation allowBlank="1" showInputMessage="1" showErrorMessage="1" promptTitle="Increase Selling Time" prompt="Comes from the ability of the account manager to interface with the customer on strategic selling opportunites rather fullfillment." sqref="A5" xr:uid="{32CF8CF2-BDC1-45F8-AD93-7D9C7D540611}"/>
    <dataValidation allowBlank="1" showInputMessage="1" showErrorMessage="1" promptTitle="Increased Time Selling" prompt="Increase in the time the rep has to perform sales activities.  Comes from the technology allowing the rep to know exactly what stock locations need thier attention" sqref="A5" xr:uid="{2EE3E526-C8F3-4749-9D44-0D994B1D9193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E020D-9F63-454B-9DE5-76CB8FFC8F55}">
  <dimension ref="A1:D15"/>
  <sheetViews>
    <sheetView workbookViewId="0">
      <selection activeCell="G5" sqref="G5"/>
    </sheetView>
  </sheetViews>
  <sheetFormatPr defaultRowHeight="22.5" customHeight="1" x14ac:dyDescent="0.25"/>
  <cols>
    <col min="1" max="2" width="36.42578125" customWidth="1"/>
    <col min="3" max="3" width="42.42578125" customWidth="1"/>
    <col min="4" max="4" width="36.42578125" customWidth="1"/>
    <col min="5" max="5" width="23.5703125" customWidth="1"/>
  </cols>
  <sheetData>
    <row r="1" spans="1:4" ht="41.25" customHeight="1" thickBot="1" x14ac:dyDescent="0.3">
      <c r="A1" s="155" t="s">
        <v>133</v>
      </c>
      <c r="B1" s="156"/>
      <c r="C1" s="156"/>
      <c r="D1" s="157"/>
    </row>
    <row r="2" spans="1:4" ht="35.25" customHeight="1" x14ac:dyDescent="0.25">
      <c r="A2" s="150" t="s">
        <v>134</v>
      </c>
      <c r="B2" s="151"/>
      <c r="C2" s="151"/>
      <c r="D2" s="152"/>
    </row>
    <row r="3" spans="1:4" ht="22.5" customHeight="1" x14ac:dyDescent="0.25">
      <c r="A3" s="84" t="s">
        <v>65</v>
      </c>
      <c r="B3" s="153" t="s">
        <v>67</v>
      </c>
      <c r="C3" s="153" t="s">
        <v>66</v>
      </c>
      <c r="D3" s="154" t="s">
        <v>68</v>
      </c>
    </row>
    <row r="4" spans="1:4" ht="22.5" customHeight="1" x14ac:dyDescent="0.25">
      <c r="A4" s="84" t="s">
        <v>135</v>
      </c>
      <c r="B4" s="80"/>
      <c r="C4" s="84" t="s">
        <v>135</v>
      </c>
      <c r="D4" s="81"/>
    </row>
    <row r="5" spans="1:4" ht="22.5" customHeight="1" x14ac:dyDescent="0.25">
      <c r="A5" s="87">
        <v>40000</v>
      </c>
      <c r="B5" s="88">
        <f>A5*0.35</f>
        <v>14000</v>
      </c>
      <c r="C5" s="89">
        <v>450</v>
      </c>
      <c r="D5" s="90">
        <f>IF(C5=0,"",35)</f>
        <v>35</v>
      </c>
    </row>
    <row r="6" spans="1:4" ht="22.5" customHeight="1" x14ac:dyDescent="0.25">
      <c r="A6" s="92" t="s">
        <v>73</v>
      </c>
      <c r="B6" s="93" t="s">
        <v>83</v>
      </c>
      <c r="C6" s="93" t="s">
        <v>69</v>
      </c>
      <c r="D6" s="94" t="s">
        <v>69</v>
      </c>
    </row>
    <row r="7" spans="1:4" ht="22.5" customHeight="1" x14ac:dyDescent="0.25">
      <c r="A7" s="98" t="s">
        <v>74</v>
      </c>
      <c r="B7" s="99" t="s">
        <v>75</v>
      </c>
      <c r="C7" s="99" t="s">
        <v>72</v>
      </c>
      <c r="D7" s="100" t="s">
        <v>71</v>
      </c>
    </row>
    <row r="8" spans="1:4" ht="22.5" customHeight="1" x14ac:dyDescent="0.25">
      <c r="A8" s="102" t="s">
        <v>76</v>
      </c>
      <c r="B8" s="103" t="s">
        <v>77</v>
      </c>
      <c r="C8" s="103" t="s">
        <v>91</v>
      </c>
      <c r="D8" s="100" t="s">
        <v>88</v>
      </c>
    </row>
    <row r="9" spans="1:4" ht="22.5" customHeight="1" x14ac:dyDescent="0.25">
      <c r="A9" s="106" t="s">
        <v>120</v>
      </c>
      <c r="B9" s="107" t="s">
        <v>78</v>
      </c>
      <c r="C9" s="103"/>
      <c r="D9" s="108"/>
    </row>
    <row r="10" spans="1:4" ht="22.5" customHeight="1" x14ac:dyDescent="0.25">
      <c r="A10" s="102" t="s">
        <v>80</v>
      </c>
      <c r="B10" s="110" t="s">
        <v>79</v>
      </c>
      <c r="C10" s="103"/>
      <c r="D10" s="111"/>
    </row>
    <row r="11" spans="1:4" ht="22.5" customHeight="1" x14ac:dyDescent="0.25">
      <c r="A11" s="102" t="s">
        <v>81</v>
      </c>
      <c r="B11" s="110" t="s">
        <v>82</v>
      </c>
      <c r="C11" s="113"/>
      <c r="D11" s="111"/>
    </row>
    <row r="12" spans="1:4" ht="22.5" customHeight="1" x14ac:dyDescent="0.25">
      <c r="A12" s="102" t="s">
        <v>86</v>
      </c>
      <c r="B12" s="103" t="s">
        <v>87</v>
      </c>
      <c r="C12" s="116"/>
      <c r="D12" s="111" t="s">
        <v>70</v>
      </c>
    </row>
    <row r="13" spans="1:4" ht="22.5" customHeight="1" x14ac:dyDescent="0.25">
      <c r="A13" s="118" t="s">
        <v>84</v>
      </c>
      <c r="B13" s="110" t="s">
        <v>85</v>
      </c>
      <c r="C13" s="88"/>
      <c r="D13" s="111"/>
    </row>
    <row r="14" spans="1:4" ht="22.5" customHeight="1" x14ac:dyDescent="0.25">
      <c r="A14" s="119" t="s">
        <v>89</v>
      </c>
      <c r="B14" s="110" t="s">
        <v>121</v>
      </c>
      <c r="C14" s="120"/>
      <c r="D14" s="121"/>
    </row>
    <row r="15" spans="1:4" ht="22.5" customHeight="1" thickBot="1" x14ac:dyDescent="0.3">
      <c r="A15" s="123"/>
      <c r="B15" s="124"/>
      <c r="C15" s="124"/>
      <c r="D15" s="125"/>
    </row>
  </sheetData>
  <mergeCells count="2">
    <mergeCell ref="A1:D1"/>
    <mergeCell ref="A2:D2"/>
  </mergeCells>
  <conditionalFormatting sqref="B5">
    <cfRule type="cellIs" dxfId="1" priority="2" operator="greaterThan">
      <formula>0</formula>
    </cfRule>
  </conditionalFormatting>
  <conditionalFormatting sqref="D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15A0A-0C8F-4DB4-A888-3ACF695FC42B}">
  <dimension ref="A1:F121"/>
  <sheetViews>
    <sheetView topLeftCell="A103" workbookViewId="0">
      <selection activeCell="B138" sqref="B138"/>
    </sheetView>
  </sheetViews>
  <sheetFormatPr defaultRowHeight="15" x14ac:dyDescent="0.25"/>
  <cols>
    <col min="1" max="1" width="13" style="1" customWidth="1"/>
    <col min="2" max="2" width="16.5703125" style="1" customWidth="1"/>
    <col min="3" max="3" width="9.140625" style="2"/>
    <col min="4" max="4" width="15.28515625" style="2" customWidth="1"/>
    <col min="5" max="5" width="10.140625" style="65" bestFit="1" customWidth="1"/>
    <col min="6" max="6" width="19.85546875" style="3" customWidth="1"/>
    <col min="7" max="16384" width="9.140625" style="1"/>
  </cols>
  <sheetData>
    <row r="1" spans="1:6" x14ac:dyDescent="0.25">
      <c r="A1" s="1" t="s">
        <v>124</v>
      </c>
      <c r="C1" s="2" t="s">
        <v>127</v>
      </c>
      <c r="D1" s="2" t="s">
        <v>125</v>
      </c>
      <c r="E1" s="65" t="s">
        <v>128</v>
      </c>
      <c r="F1" s="3" t="s">
        <v>126</v>
      </c>
    </row>
    <row r="2" spans="1:6" x14ac:dyDescent="0.25">
      <c r="A2" s="1">
        <f>A3/12</f>
        <v>331.08333333333343</v>
      </c>
      <c r="C2" s="3">
        <f>F2</f>
        <v>331.08333333333343</v>
      </c>
      <c r="D2" s="2">
        <v>1</v>
      </c>
      <c r="E2" s="65" t="e">
        <f>IF(D2='ROI Calc'!$K$7,D2,NA())</f>
        <v>#N/A</v>
      </c>
      <c r="F2" s="3">
        <f>$A$2</f>
        <v>331.08333333333343</v>
      </c>
    </row>
    <row r="3" spans="1:6" x14ac:dyDescent="0.25">
      <c r="A3" s="1">
        <f>'ROI Calc'!H14</f>
        <v>3973.0000000000009</v>
      </c>
      <c r="C3" s="3">
        <f t="shared" ref="C3:C37" si="0">C2+F3</f>
        <v>993.25000000000023</v>
      </c>
      <c r="D3" s="2">
        <v>2</v>
      </c>
      <c r="E3" s="65" t="e">
        <f>IF(D3='ROI Calc'!$K$7,D3,NA())</f>
        <v>#N/A</v>
      </c>
      <c r="F3" s="3">
        <f>IF(F2+$A$2&gt;$A$3,$A$3,F2+$A$2)</f>
        <v>662.16666666666686</v>
      </c>
    </row>
    <row r="4" spans="1:6" x14ac:dyDescent="0.25">
      <c r="C4" s="3">
        <f t="shared" si="0"/>
        <v>1986.5000000000005</v>
      </c>
      <c r="D4" s="2">
        <v>3</v>
      </c>
      <c r="E4" s="65" t="e">
        <f>IF(D4='ROI Calc'!$K$7,D4,NA())</f>
        <v>#N/A</v>
      </c>
      <c r="F4" s="3">
        <f t="shared" ref="F4:F19" si="1">IF(F3+$A$2&gt;$A$3,$A$3,F3+$A$2)</f>
        <v>993.25000000000023</v>
      </c>
    </row>
    <row r="5" spans="1:6" x14ac:dyDescent="0.25">
      <c r="C5" s="3">
        <f t="shared" si="0"/>
        <v>3310.8333333333339</v>
      </c>
      <c r="D5" s="2">
        <v>4</v>
      </c>
      <c r="E5" s="65" t="e">
        <f>IF(D5='ROI Calc'!$K$7,D5,NA())</f>
        <v>#N/A</v>
      </c>
      <c r="F5" s="3">
        <f t="shared" si="1"/>
        <v>1324.3333333333337</v>
      </c>
    </row>
    <row r="6" spans="1:6" x14ac:dyDescent="0.25">
      <c r="C6" s="3">
        <f t="shared" si="0"/>
        <v>4966.2500000000009</v>
      </c>
      <c r="D6" s="2">
        <v>5</v>
      </c>
      <c r="E6" s="65" t="e">
        <f>IF(D6='ROI Calc'!$K$7,D6,NA())</f>
        <v>#N/A</v>
      </c>
      <c r="F6" s="3">
        <f t="shared" si="1"/>
        <v>1655.4166666666672</v>
      </c>
    </row>
    <row r="7" spans="1:6" x14ac:dyDescent="0.25">
      <c r="C7" s="3">
        <f t="shared" si="0"/>
        <v>6952.7500000000018</v>
      </c>
      <c r="D7" s="2">
        <v>6</v>
      </c>
      <c r="E7" s="65" t="e">
        <f>IF(D7='ROI Calc'!$K$7,D7,NA())</f>
        <v>#N/A</v>
      </c>
      <c r="F7" s="3">
        <f t="shared" si="1"/>
        <v>1986.5000000000007</v>
      </c>
    </row>
    <row r="8" spans="1:6" x14ac:dyDescent="0.25">
      <c r="C8" s="3">
        <f t="shared" si="0"/>
        <v>9270.3333333333358</v>
      </c>
      <c r="D8" s="2">
        <v>7</v>
      </c>
      <c r="E8" s="65" t="e">
        <f>IF(D8='ROI Calc'!$K$7,D8,NA())</f>
        <v>#N/A</v>
      </c>
      <c r="F8" s="3">
        <f t="shared" si="1"/>
        <v>2317.5833333333339</v>
      </c>
    </row>
    <row r="9" spans="1:6" x14ac:dyDescent="0.25">
      <c r="C9" s="3">
        <f t="shared" si="0"/>
        <v>11919.000000000004</v>
      </c>
      <c r="D9" s="2">
        <v>8</v>
      </c>
      <c r="E9" s="65" t="e">
        <f>IF(D9='ROI Calc'!$K$7,D9,NA())</f>
        <v>#N/A</v>
      </c>
      <c r="F9" s="3">
        <f t="shared" si="1"/>
        <v>2648.6666666666674</v>
      </c>
    </row>
    <row r="10" spans="1:6" x14ac:dyDescent="0.25">
      <c r="C10" s="3">
        <f t="shared" si="0"/>
        <v>14898.750000000004</v>
      </c>
      <c r="D10" s="2">
        <v>9</v>
      </c>
      <c r="E10" s="65" t="e">
        <f>IF(D10='ROI Calc'!$K$7,D10,NA())</f>
        <v>#N/A</v>
      </c>
      <c r="F10" s="3">
        <f t="shared" si="1"/>
        <v>2979.7500000000009</v>
      </c>
    </row>
    <row r="11" spans="1:6" x14ac:dyDescent="0.25">
      <c r="C11" s="3">
        <f t="shared" si="0"/>
        <v>18209.583333333339</v>
      </c>
      <c r="D11" s="2">
        <v>10</v>
      </c>
      <c r="E11" s="65" t="e">
        <f>IF(D11='ROI Calc'!$K$7,D11,NA())</f>
        <v>#N/A</v>
      </c>
      <c r="F11" s="3">
        <f t="shared" si="1"/>
        <v>3310.8333333333344</v>
      </c>
    </row>
    <row r="12" spans="1:6" x14ac:dyDescent="0.25">
      <c r="C12" s="3">
        <f t="shared" si="0"/>
        <v>21851.500000000007</v>
      </c>
      <c r="D12" s="2">
        <v>11</v>
      </c>
      <c r="E12" s="65" t="e">
        <f>IF(D12='ROI Calc'!$K$7,D12,NA())</f>
        <v>#N/A</v>
      </c>
      <c r="F12" s="3">
        <f t="shared" si="1"/>
        <v>3641.9166666666679</v>
      </c>
    </row>
    <row r="13" spans="1:6" x14ac:dyDescent="0.25">
      <c r="C13" s="3">
        <f t="shared" si="0"/>
        <v>25824.500000000007</v>
      </c>
      <c r="D13" s="2">
        <v>12</v>
      </c>
      <c r="E13" s="65" t="e">
        <f>IF(D13='ROI Calc'!$K$7,D13,NA())</f>
        <v>#N/A</v>
      </c>
      <c r="F13" s="3">
        <f t="shared" si="1"/>
        <v>3973.0000000000014</v>
      </c>
    </row>
    <row r="14" spans="1:6" x14ac:dyDescent="0.25">
      <c r="C14" s="3">
        <f t="shared" si="0"/>
        <v>29797.500000000007</v>
      </c>
      <c r="D14" s="2">
        <v>13</v>
      </c>
      <c r="E14" s="65" t="e">
        <f>IF(D14='ROI Calc'!$K$7,D14,NA())</f>
        <v>#N/A</v>
      </c>
      <c r="F14" s="3">
        <f t="shared" si="1"/>
        <v>3973.0000000000009</v>
      </c>
    </row>
    <row r="15" spans="1:6" x14ac:dyDescent="0.25">
      <c r="C15" s="3">
        <f t="shared" si="0"/>
        <v>33770.500000000007</v>
      </c>
      <c r="D15" s="2">
        <v>14</v>
      </c>
      <c r="E15" s="65" t="e">
        <f>IF(D15='ROI Calc'!$K$7,D15,NA())</f>
        <v>#N/A</v>
      </c>
      <c r="F15" s="3">
        <f t="shared" si="1"/>
        <v>3973.0000000000009</v>
      </c>
    </row>
    <row r="16" spans="1:6" x14ac:dyDescent="0.25">
      <c r="C16" s="3">
        <f t="shared" si="0"/>
        <v>37743.500000000007</v>
      </c>
      <c r="D16" s="2">
        <v>15</v>
      </c>
      <c r="E16" s="65" t="e">
        <f>IF(D16='ROI Calc'!$K$7,D16,NA())</f>
        <v>#N/A</v>
      </c>
      <c r="F16" s="3">
        <f t="shared" si="1"/>
        <v>3973.0000000000009</v>
      </c>
    </row>
    <row r="17" spans="3:6" x14ac:dyDescent="0.25">
      <c r="C17" s="3">
        <f t="shared" si="0"/>
        <v>41716.500000000007</v>
      </c>
      <c r="D17" s="2">
        <v>16</v>
      </c>
      <c r="E17" s="65" t="e">
        <f>IF(D17='ROI Calc'!$K$7,D17,NA())</f>
        <v>#N/A</v>
      </c>
      <c r="F17" s="3">
        <f t="shared" si="1"/>
        <v>3973.0000000000009</v>
      </c>
    </row>
    <row r="18" spans="3:6" x14ac:dyDescent="0.25">
      <c r="C18" s="3">
        <f t="shared" si="0"/>
        <v>45689.500000000007</v>
      </c>
      <c r="D18" s="2">
        <v>17</v>
      </c>
      <c r="E18" s="65" t="e">
        <f>IF(D18='ROI Calc'!$K$7,D18,NA())</f>
        <v>#N/A</v>
      </c>
      <c r="F18" s="3">
        <f t="shared" si="1"/>
        <v>3973.0000000000009</v>
      </c>
    </row>
    <row r="19" spans="3:6" x14ac:dyDescent="0.25">
      <c r="C19" s="3">
        <f t="shared" si="0"/>
        <v>49662.500000000007</v>
      </c>
      <c r="D19" s="2">
        <v>18</v>
      </c>
      <c r="E19" s="65" t="e">
        <f>IF(D19='ROI Calc'!$K$7,D19,NA())</f>
        <v>#N/A</v>
      </c>
      <c r="F19" s="3">
        <f t="shared" si="1"/>
        <v>3973.0000000000009</v>
      </c>
    </row>
    <row r="20" spans="3:6" x14ac:dyDescent="0.25">
      <c r="C20" s="3">
        <f t="shared" si="0"/>
        <v>53635.500000000007</v>
      </c>
      <c r="D20" s="2">
        <v>19</v>
      </c>
      <c r="E20" s="65" t="e">
        <f>IF(D20='ROI Calc'!$K$7,D20,NA())</f>
        <v>#N/A</v>
      </c>
      <c r="F20" s="3">
        <f t="shared" ref="F20:F34" si="2">IF(F19+$A$2&gt;$A$3,$A$3,F19+$A$2)</f>
        <v>3973.0000000000009</v>
      </c>
    </row>
    <row r="21" spans="3:6" x14ac:dyDescent="0.25">
      <c r="C21" s="3">
        <f t="shared" si="0"/>
        <v>57608.500000000007</v>
      </c>
      <c r="D21" s="2">
        <v>20</v>
      </c>
      <c r="E21" s="65" t="e">
        <f>IF(D21='ROI Calc'!$K$7,D21,NA())</f>
        <v>#N/A</v>
      </c>
      <c r="F21" s="3">
        <f t="shared" si="2"/>
        <v>3973.0000000000009</v>
      </c>
    </row>
    <row r="22" spans="3:6" x14ac:dyDescent="0.25">
      <c r="C22" s="3">
        <f t="shared" si="0"/>
        <v>61581.500000000007</v>
      </c>
      <c r="D22" s="2">
        <v>21</v>
      </c>
      <c r="E22" s="65">
        <f>IF(D22='ROI Calc'!$K$7,D22,NA())</f>
        <v>21</v>
      </c>
      <c r="F22" s="3">
        <f t="shared" si="2"/>
        <v>3973.0000000000009</v>
      </c>
    </row>
    <row r="23" spans="3:6" x14ac:dyDescent="0.25">
      <c r="C23" s="3">
        <f t="shared" si="0"/>
        <v>65554.500000000015</v>
      </c>
      <c r="D23" s="2">
        <v>22</v>
      </c>
      <c r="E23" s="65" t="e">
        <f>IF(D23='ROI Calc'!$K$7,D23,NA())</f>
        <v>#N/A</v>
      </c>
      <c r="F23" s="3">
        <f t="shared" si="2"/>
        <v>3973.0000000000009</v>
      </c>
    </row>
    <row r="24" spans="3:6" x14ac:dyDescent="0.25">
      <c r="C24" s="3">
        <f t="shared" si="0"/>
        <v>69527.500000000015</v>
      </c>
      <c r="D24" s="2">
        <v>23</v>
      </c>
      <c r="E24" s="65" t="e">
        <f>IF(D24='ROI Calc'!$K$7,D24,NA())</f>
        <v>#N/A</v>
      </c>
      <c r="F24" s="3">
        <f t="shared" si="2"/>
        <v>3973.0000000000009</v>
      </c>
    </row>
    <row r="25" spans="3:6" x14ac:dyDescent="0.25">
      <c r="C25" s="3">
        <f t="shared" si="0"/>
        <v>73500.500000000015</v>
      </c>
      <c r="D25" s="2">
        <v>24</v>
      </c>
      <c r="E25" s="65" t="e">
        <f>IF(D25='ROI Calc'!$K$7,D25,NA())</f>
        <v>#N/A</v>
      </c>
      <c r="F25" s="3">
        <f t="shared" si="2"/>
        <v>3973.0000000000009</v>
      </c>
    </row>
    <row r="26" spans="3:6" x14ac:dyDescent="0.25">
      <c r="C26" s="3">
        <f t="shared" si="0"/>
        <v>77473.500000000015</v>
      </c>
      <c r="D26" s="2">
        <v>25</v>
      </c>
      <c r="E26" s="65" t="e">
        <f>IF(D26='ROI Calc'!$K$7,D26,NA())</f>
        <v>#N/A</v>
      </c>
      <c r="F26" s="3">
        <f t="shared" si="2"/>
        <v>3973.0000000000009</v>
      </c>
    </row>
    <row r="27" spans="3:6" x14ac:dyDescent="0.25">
      <c r="C27" s="3">
        <f t="shared" si="0"/>
        <v>81446.500000000015</v>
      </c>
      <c r="D27" s="2">
        <v>26</v>
      </c>
      <c r="E27" s="65" t="e">
        <f>IF(D27='ROI Calc'!$K$7,D27,NA())</f>
        <v>#N/A</v>
      </c>
      <c r="F27" s="3">
        <f t="shared" si="2"/>
        <v>3973.0000000000009</v>
      </c>
    </row>
    <row r="28" spans="3:6" x14ac:dyDescent="0.25">
      <c r="C28" s="3">
        <f t="shared" si="0"/>
        <v>85419.500000000015</v>
      </c>
      <c r="D28" s="2">
        <v>27</v>
      </c>
      <c r="E28" s="65" t="e">
        <f>IF(D28='ROI Calc'!$K$7,D28,NA())</f>
        <v>#N/A</v>
      </c>
      <c r="F28" s="3">
        <f t="shared" si="2"/>
        <v>3973.0000000000009</v>
      </c>
    </row>
    <row r="29" spans="3:6" x14ac:dyDescent="0.25">
      <c r="C29" s="3">
        <f t="shared" si="0"/>
        <v>89392.500000000015</v>
      </c>
      <c r="D29" s="2">
        <v>28</v>
      </c>
      <c r="E29" s="65" t="e">
        <f>IF(D29='ROI Calc'!$K$7,D29,NA())</f>
        <v>#N/A</v>
      </c>
      <c r="F29" s="3">
        <f t="shared" si="2"/>
        <v>3973.0000000000009</v>
      </c>
    </row>
    <row r="30" spans="3:6" x14ac:dyDescent="0.25">
      <c r="C30" s="3">
        <f t="shared" si="0"/>
        <v>93365.500000000015</v>
      </c>
      <c r="D30" s="2">
        <v>29</v>
      </c>
      <c r="E30" s="65" t="e">
        <f>IF(D30='ROI Calc'!$K$7,D30,NA())</f>
        <v>#N/A</v>
      </c>
      <c r="F30" s="3">
        <f t="shared" si="2"/>
        <v>3973.0000000000009</v>
      </c>
    </row>
    <row r="31" spans="3:6" x14ac:dyDescent="0.25">
      <c r="C31" s="3">
        <f t="shared" si="0"/>
        <v>97338.500000000015</v>
      </c>
      <c r="D31" s="2">
        <v>30</v>
      </c>
      <c r="E31" s="65" t="e">
        <f>IF(D31='ROI Calc'!$K$7,D31,NA())</f>
        <v>#N/A</v>
      </c>
      <c r="F31" s="3">
        <f t="shared" si="2"/>
        <v>3973.0000000000009</v>
      </c>
    </row>
    <row r="32" spans="3:6" x14ac:dyDescent="0.25">
      <c r="C32" s="3">
        <f t="shared" si="0"/>
        <v>101311.50000000001</v>
      </c>
      <c r="D32" s="2">
        <v>31</v>
      </c>
      <c r="E32" s="65" t="e">
        <f>IF(D32='ROI Calc'!$K$7,D32,NA())</f>
        <v>#N/A</v>
      </c>
      <c r="F32" s="3">
        <f t="shared" si="2"/>
        <v>3973.0000000000009</v>
      </c>
    </row>
    <row r="33" spans="3:6" x14ac:dyDescent="0.25">
      <c r="C33" s="3">
        <f t="shared" si="0"/>
        <v>105284.50000000001</v>
      </c>
      <c r="D33" s="2">
        <v>32</v>
      </c>
      <c r="E33" s="65" t="e">
        <f>IF(D33='ROI Calc'!$K$7,D33,NA())</f>
        <v>#N/A</v>
      </c>
      <c r="F33" s="3">
        <f t="shared" si="2"/>
        <v>3973.0000000000009</v>
      </c>
    </row>
    <row r="34" spans="3:6" x14ac:dyDescent="0.25">
      <c r="C34" s="3">
        <f t="shared" si="0"/>
        <v>109257.50000000001</v>
      </c>
      <c r="D34" s="2">
        <v>33</v>
      </c>
      <c r="E34" s="65" t="e">
        <f>IF(D34='ROI Calc'!$K$7,D34,NA())</f>
        <v>#N/A</v>
      </c>
      <c r="F34" s="3">
        <f t="shared" si="2"/>
        <v>3973.0000000000009</v>
      </c>
    </row>
    <row r="35" spans="3:6" x14ac:dyDescent="0.25">
      <c r="C35" s="3">
        <f t="shared" si="0"/>
        <v>113230.50000000001</v>
      </c>
      <c r="D35" s="2">
        <v>34</v>
      </c>
      <c r="E35" s="65" t="e">
        <f>IF(D35='ROI Calc'!$K$7,D35,NA())</f>
        <v>#N/A</v>
      </c>
      <c r="F35" s="3">
        <f t="shared" ref="F35:F98" si="3">IF(F34+$A$2&gt;$A$3,$A$3,F34+$A$2)</f>
        <v>3973.0000000000009</v>
      </c>
    </row>
    <row r="36" spans="3:6" x14ac:dyDescent="0.25">
      <c r="C36" s="3">
        <f t="shared" si="0"/>
        <v>117203.50000000001</v>
      </c>
      <c r="D36" s="2">
        <v>35</v>
      </c>
      <c r="E36" s="65" t="e">
        <f>IF(D36='ROI Calc'!$K$7,D36,NA())</f>
        <v>#N/A</v>
      </c>
      <c r="F36" s="3">
        <f t="shared" si="3"/>
        <v>3973.0000000000009</v>
      </c>
    </row>
    <row r="37" spans="3:6" x14ac:dyDescent="0.25">
      <c r="C37" s="3">
        <f t="shared" si="0"/>
        <v>121176.50000000001</v>
      </c>
      <c r="D37" s="2">
        <v>36</v>
      </c>
      <c r="E37" s="65" t="e">
        <f>IF(D37='ROI Calc'!$K$7,D37,NA())</f>
        <v>#N/A</v>
      </c>
      <c r="F37" s="3">
        <f t="shared" si="3"/>
        <v>3973.0000000000009</v>
      </c>
    </row>
    <row r="38" spans="3:6" x14ac:dyDescent="0.25">
      <c r="C38" s="3">
        <f t="shared" ref="C38:C101" si="4">C37+F38</f>
        <v>125149.50000000001</v>
      </c>
      <c r="D38" s="2">
        <v>37</v>
      </c>
      <c r="E38" s="65" t="e">
        <f>IF(D38='ROI Calc'!$K$7,D38,NA())</f>
        <v>#N/A</v>
      </c>
      <c r="F38" s="3">
        <f t="shared" si="3"/>
        <v>3973.0000000000009</v>
      </c>
    </row>
    <row r="39" spans="3:6" x14ac:dyDescent="0.25">
      <c r="C39" s="3">
        <f t="shared" si="4"/>
        <v>129122.50000000001</v>
      </c>
      <c r="D39" s="2">
        <v>38</v>
      </c>
      <c r="E39" s="65" t="e">
        <f>IF(D39='ROI Calc'!$K$7,D39,NA())</f>
        <v>#N/A</v>
      </c>
      <c r="F39" s="3">
        <f t="shared" si="3"/>
        <v>3973.0000000000009</v>
      </c>
    </row>
    <row r="40" spans="3:6" x14ac:dyDescent="0.25">
      <c r="C40" s="3">
        <f t="shared" si="4"/>
        <v>133095.50000000003</v>
      </c>
      <c r="D40" s="2">
        <v>39</v>
      </c>
      <c r="E40" s="65" t="e">
        <f>IF(D40='ROI Calc'!$K$7,D40,NA())</f>
        <v>#N/A</v>
      </c>
      <c r="F40" s="3">
        <f t="shared" si="3"/>
        <v>3973.0000000000009</v>
      </c>
    </row>
    <row r="41" spans="3:6" x14ac:dyDescent="0.25">
      <c r="C41" s="3">
        <f t="shared" si="4"/>
        <v>137068.50000000003</v>
      </c>
      <c r="D41" s="2">
        <v>40</v>
      </c>
      <c r="E41" s="65" t="e">
        <f>IF(D41='ROI Calc'!$K$7,D41,NA())</f>
        <v>#N/A</v>
      </c>
      <c r="F41" s="3">
        <f t="shared" si="3"/>
        <v>3973.0000000000009</v>
      </c>
    </row>
    <row r="42" spans="3:6" x14ac:dyDescent="0.25">
      <c r="C42" s="3">
        <f t="shared" si="4"/>
        <v>141041.50000000003</v>
      </c>
      <c r="D42" s="2">
        <v>41</v>
      </c>
      <c r="E42" s="65" t="e">
        <f>IF(D42='ROI Calc'!$K$7,D42,NA())</f>
        <v>#N/A</v>
      </c>
      <c r="F42" s="3">
        <f t="shared" si="3"/>
        <v>3973.0000000000009</v>
      </c>
    </row>
    <row r="43" spans="3:6" x14ac:dyDescent="0.25">
      <c r="C43" s="3">
        <f t="shared" si="4"/>
        <v>145014.50000000003</v>
      </c>
      <c r="D43" s="2">
        <v>42</v>
      </c>
      <c r="E43" s="65" t="e">
        <f>IF(D43='ROI Calc'!$K$7,D43,NA())</f>
        <v>#N/A</v>
      </c>
      <c r="F43" s="3">
        <f t="shared" si="3"/>
        <v>3973.0000000000009</v>
      </c>
    </row>
    <row r="44" spans="3:6" x14ac:dyDescent="0.25">
      <c r="C44" s="3">
        <f t="shared" si="4"/>
        <v>148987.50000000003</v>
      </c>
      <c r="D44" s="2">
        <v>43</v>
      </c>
      <c r="E44" s="65" t="e">
        <f>IF(D44='ROI Calc'!$K$7,D44,NA())</f>
        <v>#N/A</v>
      </c>
      <c r="F44" s="3">
        <f t="shared" si="3"/>
        <v>3973.0000000000009</v>
      </c>
    </row>
    <row r="45" spans="3:6" x14ac:dyDescent="0.25">
      <c r="C45" s="3">
        <f t="shared" si="4"/>
        <v>152960.50000000003</v>
      </c>
      <c r="D45" s="2">
        <v>44</v>
      </c>
      <c r="E45" s="65" t="e">
        <f>IF(D45='ROI Calc'!$K$7,D45,NA())</f>
        <v>#N/A</v>
      </c>
      <c r="F45" s="3">
        <f t="shared" si="3"/>
        <v>3973.0000000000009</v>
      </c>
    </row>
    <row r="46" spans="3:6" x14ac:dyDescent="0.25">
      <c r="C46" s="3">
        <f t="shared" si="4"/>
        <v>156933.50000000003</v>
      </c>
      <c r="D46" s="2">
        <v>45</v>
      </c>
      <c r="E46" s="65" t="e">
        <f>IF(D46='ROI Calc'!$K$7,D46,NA())</f>
        <v>#N/A</v>
      </c>
      <c r="F46" s="3">
        <f t="shared" si="3"/>
        <v>3973.0000000000009</v>
      </c>
    </row>
    <row r="47" spans="3:6" x14ac:dyDescent="0.25">
      <c r="C47" s="3">
        <f t="shared" si="4"/>
        <v>160906.50000000003</v>
      </c>
      <c r="D47" s="2">
        <v>46</v>
      </c>
      <c r="E47" s="65" t="e">
        <f>IF(D47='ROI Calc'!$K$7,D47,NA())</f>
        <v>#N/A</v>
      </c>
      <c r="F47" s="3">
        <f t="shared" si="3"/>
        <v>3973.0000000000009</v>
      </c>
    </row>
    <row r="48" spans="3:6" x14ac:dyDescent="0.25">
      <c r="C48" s="3">
        <f t="shared" si="4"/>
        <v>164879.50000000003</v>
      </c>
      <c r="D48" s="2">
        <v>47</v>
      </c>
      <c r="E48" s="65" t="e">
        <f>IF(D48='ROI Calc'!$K$7,D48,NA())</f>
        <v>#N/A</v>
      </c>
      <c r="F48" s="3">
        <f t="shared" si="3"/>
        <v>3973.0000000000009</v>
      </c>
    </row>
    <row r="49" spans="3:6" x14ac:dyDescent="0.25">
      <c r="C49" s="3">
        <f t="shared" si="4"/>
        <v>168852.50000000003</v>
      </c>
      <c r="D49" s="2">
        <v>48</v>
      </c>
      <c r="E49" s="65" t="e">
        <f>IF(D49='ROI Calc'!$K$7,D49,NA())</f>
        <v>#N/A</v>
      </c>
      <c r="F49" s="3">
        <f t="shared" si="3"/>
        <v>3973.0000000000009</v>
      </c>
    </row>
    <row r="50" spans="3:6" x14ac:dyDescent="0.25">
      <c r="C50" s="3">
        <f t="shared" si="4"/>
        <v>172825.50000000003</v>
      </c>
      <c r="D50" s="2">
        <v>49</v>
      </c>
      <c r="E50" s="65" t="e">
        <f>IF(D50='ROI Calc'!$K$7,D50,NA())</f>
        <v>#N/A</v>
      </c>
      <c r="F50" s="3">
        <f t="shared" si="3"/>
        <v>3973.0000000000009</v>
      </c>
    </row>
    <row r="51" spans="3:6" x14ac:dyDescent="0.25">
      <c r="C51" s="3">
        <f t="shared" si="4"/>
        <v>176798.50000000003</v>
      </c>
      <c r="D51" s="2">
        <v>50</v>
      </c>
      <c r="E51" s="65" t="e">
        <f>IF(D51='ROI Calc'!$K$7,D51,NA())</f>
        <v>#N/A</v>
      </c>
      <c r="F51" s="3">
        <f t="shared" si="3"/>
        <v>3973.0000000000009</v>
      </c>
    </row>
    <row r="52" spans="3:6" x14ac:dyDescent="0.25">
      <c r="C52" s="3">
        <f t="shared" si="4"/>
        <v>180771.50000000003</v>
      </c>
      <c r="D52" s="2">
        <v>51</v>
      </c>
      <c r="E52" s="65" t="e">
        <f>IF(D52='ROI Calc'!$K$7,D52,NA())</f>
        <v>#N/A</v>
      </c>
      <c r="F52" s="3">
        <f t="shared" si="3"/>
        <v>3973.0000000000009</v>
      </c>
    </row>
    <row r="53" spans="3:6" x14ac:dyDescent="0.25">
      <c r="C53" s="3">
        <f t="shared" si="4"/>
        <v>184744.50000000003</v>
      </c>
      <c r="D53" s="2">
        <v>52</v>
      </c>
      <c r="E53" s="65" t="e">
        <f>IF(D53='ROI Calc'!$K$7,D53,NA())</f>
        <v>#N/A</v>
      </c>
      <c r="F53" s="3">
        <f t="shared" si="3"/>
        <v>3973.0000000000009</v>
      </c>
    </row>
    <row r="54" spans="3:6" x14ac:dyDescent="0.25">
      <c r="C54" s="3">
        <f t="shared" si="4"/>
        <v>188717.50000000003</v>
      </c>
      <c r="D54" s="2">
        <v>53</v>
      </c>
      <c r="E54" s="65" t="e">
        <f>IF(D54='ROI Calc'!$K$7,D54,NA())</f>
        <v>#N/A</v>
      </c>
      <c r="F54" s="3">
        <f t="shared" si="3"/>
        <v>3973.0000000000009</v>
      </c>
    </row>
    <row r="55" spans="3:6" x14ac:dyDescent="0.25">
      <c r="C55" s="3">
        <f t="shared" si="4"/>
        <v>192690.50000000003</v>
      </c>
      <c r="D55" s="2">
        <v>54</v>
      </c>
      <c r="E55" s="65" t="e">
        <f>IF(D55='ROI Calc'!$K$7,D55,NA())</f>
        <v>#N/A</v>
      </c>
      <c r="F55" s="3">
        <f t="shared" si="3"/>
        <v>3973.0000000000009</v>
      </c>
    </row>
    <row r="56" spans="3:6" x14ac:dyDescent="0.25">
      <c r="C56" s="3">
        <f t="shared" si="4"/>
        <v>196663.50000000003</v>
      </c>
      <c r="D56" s="2">
        <v>55</v>
      </c>
      <c r="E56" s="65" t="e">
        <f>IF(D56='ROI Calc'!$K$7,D56,NA())</f>
        <v>#N/A</v>
      </c>
      <c r="F56" s="3">
        <f t="shared" si="3"/>
        <v>3973.0000000000009</v>
      </c>
    </row>
    <row r="57" spans="3:6" x14ac:dyDescent="0.25">
      <c r="C57" s="3">
        <f t="shared" si="4"/>
        <v>200636.50000000003</v>
      </c>
      <c r="D57" s="2">
        <v>56</v>
      </c>
      <c r="E57" s="65" t="e">
        <f>IF(D57='ROI Calc'!$K$7,D57,NA())</f>
        <v>#N/A</v>
      </c>
      <c r="F57" s="3">
        <f t="shared" si="3"/>
        <v>3973.0000000000009</v>
      </c>
    </row>
    <row r="58" spans="3:6" x14ac:dyDescent="0.25">
      <c r="C58" s="3">
        <f t="shared" si="4"/>
        <v>204609.50000000003</v>
      </c>
      <c r="D58" s="2">
        <v>57</v>
      </c>
      <c r="E58" s="65" t="e">
        <f>IF(D58='ROI Calc'!$K$7,D58,NA())</f>
        <v>#N/A</v>
      </c>
      <c r="F58" s="3">
        <f t="shared" si="3"/>
        <v>3973.0000000000009</v>
      </c>
    </row>
    <row r="59" spans="3:6" x14ac:dyDescent="0.25">
      <c r="C59" s="3">
        <f t="shared" si="4"/>
        <v>208582.50000000003</v>
      </c>
      <c r="D59" s="2">
        <v>58</v>
      </c>
      <c r="E59" s="65" t="e">
        <f>IF(D59='ROI Calc'!$K$7,D59,NA())</f>
        <v>#N/A</v>
      </c>
      <c r="F59" s="3">
        <f t="shared" si="3"/>
        <v>3973.0000000000009</v>
      </c>
    </row>
    <row r="60" spans="3:6" x14ac:dyDescent="0.25">
      <c r="C60" s="3">
        <f t="shared" si="4"/>
        <v>212555.50000000003</v>
      </c>
      <c r="D60" s="2">
        <v>59</v>
      </c>
      <c r="E60" s="65" t="e">
        <f>IF(D60='ROI Calc'!$K$7,D60,NA())</f>
        <v>#N/A</v>
      </c>
      <c r="F60" s="3">
        <f t="shared" si="3"/>
        <v>3973.0000000000009</v>
      </c>
    </row>
    <row r="61" spans="3:6" x14ac:dyDescent="0.25">
      <c r="C61" s="3">
        <f t="shared" si="4"/>
        <v>216528.50000000003</v>
      </c>
      <c r="D61" s="2">
        <v>60</v>
      </c>
      <c r="E61" s="65" t="e">
        <f>IF(D61='ROI Calc'!$K$7,D61,NA())</f>
        <v>#N/A</v>
      </c>
      <c r="F61" s="3">
        <f t="shared" si="3"/>
        <v>3973.0000000000009</v>
      </c>
    </row>
    <row r="62" spans="3:6" x14ac:dyDescent="0.25">
      <c r="C62" s="3">
        <f t="shared" si="4"/>
        <v>220501.50000000003</v>
      </c>
      <c r="D62" s="2">
        <v>61</v>
      </c>
      <c r="E62" s="65" t="e">
        <f>IF(D62='ROI Calc'!$K$7,D62,NA())</f>
        <v>#N/A</v>
      </c>
      <c r="F62" s="3">
        <f t="shared" si="3"/>
        <v>3973.0000000000009</v>
      </c>
    </row>
    <row r="63" spans="3:6" x14ac:dyDescent="0.25">
      <c r="C63" s="3">
        <f t="shared" si="4"/>
        <v>224474.50000000003</v>
      </c>
      <c r="D63" s="2">
        <v>62</v>
      </c>
      <c r="E63" s="65" t="e">
        <f>IF(D63='ROI Calc'!$K$7,D63,NA())</f>
        <v>#N/A</v>
      </c>
      <c r="F63" s="3">
        <f t="shared" si="3"/>
        <v>3973.0000000000009</v>
      </c>
    </row>
    <row r="64" spans="3:6" x14ac:dyDescent="0.25">
      <c r="C64" s="3">
        <f t="shared" si="4"/>
        <v>228447.50000000003</v>
      </c>
      <c r="D64" s="2">
        <v>63</v>
      </c>
      <c r="E64" s="65" t="e">
        <f>IF(D64='ROI Calc'!$K$7,D64,NA())</f>
        <v>#N/A</v>
      </c>
      <c r="F64" s="3">
        <f t="shared" si="3"/>
        <v>3973.0000000000009</v>
      </c>
    </row>
    <row r="65" spans="3:6" x14ac:dyDescent="0.25">
      <c r="C65" s="3">
        <f t="shared" si="4"/>
        <v>232420.50000000003</v>
      </c>
      <c r="D65" s="2">
        <v>64</v>
      </c>
      <c r="E65" s="65" t="e">
        <f>IF(D65='ROI Calc'!$K$7,D65,NA())</f>
        <v>#N/A</v>
      </c>
      <c r="F65" s="3">
        <f t="shared" si="3"/>
        <v>3973.0000000000009</v>
      </c>
    </row>
    <row r="66" spans="3:6" x14ac:dyDescent="0.25">
      <c r="C66" s="3">
        <f t="shared" si="4"/>
        <v>236393.50000000003</v>
      </c>
      <c r="D66" s="2">
        <v>65</v>
      </c>
      <c r="E66" s="65" t="e">
        <f>IF(D66='ROI Calc'!$K$7,D66,NA())</f>
        <v>#N/A</v>
      </c>
      <c r="F66" s="3">
        <f t="shared" si="3"/>
        <v>3973.0000000000009</v>
      </c>
    </row>
    <row r="67" spans="3:6" x14ac:dyDescent="0.25">
      <c r="C67" s="3">
        <f t="shared" si="4"/>
        <v>240366.50000000003</v>
      </c>
      <c r="D67" s="2">
        <v>66</v>
      </c>
      <c r="E67" s="65" t="e">
        <f>IF(D67='ROI Calc'!$K$7,D67,NA())</f>
        <v>#N/A</v>
      </c>
      <c r="F67" s="3">
        <f t="shared" si="3"/>
        <v>3973.0000000000009</v>
      </c>
    </row>
    <row r="68" spans="3:6" x14ac:dyDescent="0.25">
      <c r="C68" s="3">
        <f t="shared" si="4"/>
        <v>244339.50000000003</v>
      </c>
      <c r="D68" s="2">
        <v>67</v>
      </c>
      <c r="E68" s="65" t="e">
        <f>IF(D68='ROI Calc'!$K$7,D68,NA())</f>
        <v>#N/A</v>
      </c>
      <c r="F68" s="3">
        <f t="shared" si="3"/>
        <v>3973.0000000000009</v>
      </c>
    </row>
    <row r="69" spans="3:6" x14ac:dyDescent="0.25">
      <c r="C69" s="3">
        <f t="shared" si="4"/>
        <v>248312.50000000003</v>
      </c>
      <c r="D69" s="2">
        <v>68</v>
      </c>
      <c r="E69" s="65" t="e">
        <f>IF(D69='ROI Calc'!$K$7,D69,NA())</f>
        <v>#N/A</v>
      </c>
      <c r="F69" s="3">
        <f t="shared" si="3"/>
        <v>3973.0000000000009</v>
      </c>
    </row>
    <row r="70" spans="3:6" x14ac:dyDescent="0.25">
      <c r="C70" s="3">
        <f t="shared" si="4"/>
        <v>252285.50000000003</v>
      </c>
      <c r="D70" s="2">
        <v>69</v>
      </c>
      <c r="E70" s="65" t="e">
        <f>IF(D70='ROI Calc'!$K$7,D70,NA())</f>
        <v>#N/A</v>
      </c>
      <c r="F70" s="3">
        <f t="shared" si="3"/>
        <v>3973.0000000000009</v>
      </c>
    </row>
    <row r="71" spans="3:6" x14ac:dyDescent="0.25">
      <c r="C71" s="3">
        <f t="shared" si="4"/>
        <v>256258.50000000003</v>
      </c>
      <c r="D71" s="2">
        <v>70</v>
      </c>
      <c r="E71" s="65" t="e">
        <f>IF(D71='ROI Calc'!$K$7,D71,NA())</f>
        <v>#N/A</v>
      </c>
      <c r="F71" s="3">
        <f t="shared" si="3"/>
        <v>3973.0000000000009</v>
      </c>
    </row>
    <row r="72" spans="3:6" x14ac:dyDescent="0.25">
      <c r="C72" s="3">
        <f t="shared" si="4"/>
        <v>260231.50000000003</v>
      </c>
      <c r="D72" s="2">
        <v>71</v>
      </c>
      <c r="E72" s="65" t="e">
        <f>IF(D72='ROI Calc'!$K$7,D72,NA())</f>
        <v>#N/A</v>
      </c>
      <c r="F72" s="3">
        <f t="shared" si="3"/>
        <v>3973.0000000000009</v>
      </c>
    </row>
    <row r="73" spans="3:6" x14ac:dyDescent="0.25">
      <c r="C73" s="3">
        <f t="shared" si="4"/>
        <v>264204.50000000006</v>
      </c>
      <c r="D73" s="2">
        <v>72</v>
      </c>
      <c r="E73" s="65" t="e">
        <f>IF(D73='ROI Calc'!$K$7,D73,NA())</f>
        <v>#N/A</v>
      </c>
      <c r="F73" s="3">
        <f t="shared" si="3"/>
        <v>3973.0000000000009</v>
      </c>
    </row>
    <row r="74" spans="3:6" x14ac:dyDescent="0.25">
      <c r="C74" s="3">
        <f t="shared" si="4"/>
        <v>268177.50000000006</v>
      </c>
      <c r="D74" s="2">
        <v>73</v>
      </c>
      <c r="E74" s="65" t="e">
        <f>IF(D74='ROI Calc'!$K$7,D74,NA())</f>
        <v>#N/A</v>
      </c>
      <c r="F74" s="3">
        <f t="shared" si="3"/>
        <v>3973.0000000000009</v>
      </c>
    </row>
    <row r="75" spans="3:6" x14ac:dyDescent="0.25">
      <c r="C75" s="3">
        <f t="shared" si="4"/>
        <v>272150.50000000006</v>
      </c>
      <c r="D75" s="2">
        <v>74</v>
      </c>
      <c r="E75" s="65" t="e">
        <f>IF(D75='ROI Calc'!$K$7,D75,NA())</f>
        <v>#N/A</v>
      </c>
      <c r="F75" s="3">
        <f t="shared" si="3"/>
        <v>3973.0000000000009</v>
      </c>
    </row>
    <row r="76" spans="3:6" x14ac:dyDescent="0.25">
      <c r="C76" s="3">
        <f t="shared" si="4"/>
        <v>276123.50000000006</v>
      </c>
      <c r="D76" s="2">
        <v>75</v>
      </c>
      <c r="E76" s="65" t="e">
        <f>IF(D76='ROI Calc'!$K$7,D76,NA())</f>
        <v>#N/A</v>
      </c>
      <c r="F76" s="3">
        <f t="shared" si="3"/>
        <v>3973.0000000000009</v>
      </c>
    </row>
    <row r="77" spans="3:6" x14ac:dyDescent="0.25">
      <c r="C77" s="3">
        <f t="shared" si="4"/>
        <v>280096.50000000006</v>
      </c>
      <c r="D77" s="2">
        <v>76</v>
      </c>
      <c r="E77" s="65" t="e">
        <f>IF(D77='ROI Calc'!$K$7,D77,NA())</f>
        <v>#N/A</v>
      </c>
      <c r="F77" s="3">
        <f t="shared" si="3"/>
        <v>3973.0000000000009</v>
      </c>
    </row>
    <row r="78" spans="3:6" x14ac:dyDescent="0.25">
      <c r="C78" s="3">
        <f t="shared" si="4"/>
        <v>284069.50000000006</v>
      </c>
      <c r="D78" s="2">
        <v>77</v>
      </c>
      <c r="E78" s="65" t="e">
        <f>IF(D78='ROI Calc'!$K$7,D78,NA())</f>
        <v>#N/A</v>
      </c>
      <c r="F78" s="3">
        <f t="shared" si="3"/>
        <v>3973.0000000000009</v>
      </c>
    </row>
    <row r="79" spans="3:6" x14ac:dyDescent="0.25">
      <c r="C79" s="3">
        <f t="shared" si="4"/>
        <v>288042.50000000006</v>
      </c>
      <c r="D79" s="2">
        <v>78</v>
      </c>
      <c r="E79" s="65" t="e">
        <f>IF(D79='ROI Calc'!$K$7,D79,NA())</f>
        <v>#N/A</v>
      </c>
      <c r="F79" s="3">
        <f t="shared" si="3"/>
        <v>3973.0000000000009</v>
      </c>
    </row>
    <row r="80" spans="3:6" x14ac:dyDescent="0.25">
      <c r="C80" s="3">
        <f t="shared" si="4"/>
        <v>292015.50000000006</v>
      </c>
      <c r="D80" s="2">
        <v>79</v>
      </c>
      <c r="E80" s="65" t="e">
        <f>IF(D80='ROI Calc'!$K$7,D80,NA())</f>
        <v>#N/A</v>
      </c>
      <c r="F80" s="3">
        <f t="shared" si="3"/>
        <v>3973.0000000000009</v>
      </c>
    </row>
    <row r="81" spans="3:6" x14ac:dyDescent="0.25">
      <c r="C81" s="3">
        <f t="shared" si="4"/>
        <v>295988.50000000006</v>
      </c>
      <c r="D81" s="2">
        <v>80</v>
      </c>
      <c r="E81" s="65" t="e">
        <f>IF(D81='ROI Calc'!$K$7,D81,NA())</f>
        <v>#N/A</v>
      </c>
      <c r="F81" s="3">
        <f t="shared" si="3"/>
        <v>3973.0000000000009</v>
      </c>
    </row>
    <row r="82" spans="3:6" x14ac:dyDescent="0.25">
      <c r="C82" s="3">
        <f t="shared" si="4"/>
        <v>299961.50000000006</v>
      </c>
      <c r="D82" s="2">
        <v>81</v>
      </c>
      <c r="E82" s="65" t="e">
        <f>IF(D82='ROI Calc'!$K$7,D82,NA())</f>
        <v>#N/A</v>
      </c>
      <c r="F82" s="3">
        <f t="shared" si="3"/>
        <v>3973.0000000000009</v>
      </c>
    </row>
    <row r="83" spans="3:6" x14ac:dyDescent="0.25">
      <c r="C83" s="3">
        <f t="shared" si="4"/>
        <v>303934.50000000006</v>
      </c>
      <c r="D83" s="2">
        <v>82</v>
      </c>
      <c r="E83" s="65" t="e">
        <f>IF(D83='ROI Calc'!$K$7,D83,NA())</f>
        <v>#N/A</v>
      </c>
      <c r="F83" s="3">
        <f t="shared" si="3"/>
        <v>3973.0000000000009</v>
      </c>
    </row>
    <row r="84" spans="3:6" x14ac:dyDescent="0.25">
      <c r="C84" s="3">
        <f t="shared" si="4"/>
        <v>307907.50000000006</v>
      </c>
      <c r="D84" s="2">
        <v>83</v>
      </c>
      <c r="E84" s="65" t="e">
        <f>IF(D84='ROI Calc'!$K$7,D84,NA())</f>
        <v>#N/A</v>
      </c>
      <c r="F84" s="3">
        <f t="shared" si="3"/>
        <v>3973.0000000000009</v>
      </c>
    </row>
    <row r="85" spans="3:6" x14ac:dyDescent="0.25">
      <c r="C85" s="3">
        <f t="shared" si="4"/>
        <v>311880.50000000006</v>
      </c>
      <c r="D85" s="2">
        <v>84</v>
      </c>
      <c r="E85" s="65" t="e">
        <f>IF(D85='ROI Calc'!$K$7,D85,NA())</f>
        <v>#N/A</v>
      </c>
      <c r="F85" s="3">
        <f t="shared" si="3"/>
        <v>3973.0000000000009</v>
      </c>
    </row>
    <row r="86" spans="3:6" x14ac:dyDescent="0.25">
      <c r="C86" s="3">
        <f t="shared" si="4"/>
        <v>315853.50000000006</v>
      </c>
      <c r="D86" s="2">
        <v>85</v>
      </c>
      <c r="E86" s="65" t="e">
        <f>IF(D86='ROI Calc'!$K$7,D86,NA())</f>
        <v>#N/A</v>
      </c>
      <c r="F86" s="3">
        <f t="shared" si="3"/>
        <v>3973.0000000000009</v>
      </c>
    </row>
    <row r="87" spans="3:6" x14ac:dyDescent="0.25">
      <c r="C87" s="3">
        <f t="shared" si="4"/>
        <v>319826.50000000006</v>
      </c>
      <c r="D87" s="2">
        <v>86</v>
      </c>
      <c r="E87" s="65" t="e">
        <f>IF(D87='ROI Calc'!$K$7,D87,NA())</f>
        <v>#N/A</v>
      </c>
      <c r="F87" s="3">
        <f t="shared" si="3"/>
        <v>3973.0000000000009</v>
      </c>
    </row>
    <row r="88" spans="3:6" x14ac:dyDescent="0.25">
      <c r="C88" s="3">
        <f t="shared" si="4"/>
        <v>323799.50000000006</v>
      </c>
      <c r="D88" s="2">
        <v>87</v>
      </c>
      <c r="E88" s="65" t="e">
        <f>IF(D88='ROI Calc'!$K$7,D88,NA())</f>
        <v>#N/A</v>
      </c>
      <c r="F88" s="3">
        <f t="shared" si="3"/>
        <v>3973.0000000000009</v>
      </c>
    </row>
    <row r="89" spans="3:6" x14ac:dyDescent="0.25">
      <c r="C89" s="3">
        <f t="shared" si="4"/>
        <v>327772.50000000006</v>
      </c>
      <c r="D89" s="2">
        <v>88</v>
      </c>
      <c r="E89" s="65" t="e">
        <f>IF(D89='ROI Calc'!$K$7,D89,NA())</f>
        <v>#N/A</v>
      </c>
      <c r="F89" s="3">
        <f t="shared" si="3"/>
        <v>3973.0000000000009</v>
      </c>
    </row>
    <row r="90" spans="3:6" x14ac:dyDescent="0.25">
      <c r="C90" s="3">
        <f t="shared" si="4"/>
        <v>331745.50000000006</v>
      </c>
      <c r="D90" s="2">
        <v>89</v>
      </c>
      <c r="E90" s="65" t="e">
        <f>IF(D90='ROI Calc'!$K$7,D90,NA())</f>
        <v>#N/A</v>
      </c>
      <c r="F90" s="3">
        <f t="shared" si="3"/>
        <v>3973.0000000000009</v>
      </c>
    </row>
    <row r="91" spans="3:6" x14ac:dyDescent="0.25">
      <c r="C91" s="3">
        <f t="shared" si="4"/>
        <v>335718.50000000006</v>
      </c>
      <c r="D91" s="2">
        <v>90</v>
      </c>
      <c r="E91" s="65" t="e">
        <f>IF(D91='ROI Calc'!$K$7,D91,NA())</f>
        <v>#N/A</v>
      </c>
      <c r="F91" s="3">
        <f t="shared" si="3"/>
        <v>3973.0000000000009</v>
      </c>
    </row>
    <row r="92" spans="3:6" x14ac:dyDescent="0.25">
      <c r="C92" s="3">
        <f t="shared" si="4"/>
        <v>339691.50000000006</v>
      </c>
      <c r="D92" s="2">
        <v>91</v>
      </c>
      <c r="E92" s="65" t="e">
        <f>IF(D92='ROI Calc'!$K$7,D92,NA())</f>
        <v>#N/A</v>
      </c>
      <c r="F92" s="3">
        <f t="shared" si="3"/>
        <v>3973.0000000000009</v>
      </c>
    </row>
    <row r="93" spans="3:6" x14ac:dyDescent="0.25">
      <c r="C93" s="3">
        <f t="shared" si="4"/>
        <v>343664.50000000006</v>
      </c>
      <c r="D93" s="2">
        <v>92</v>
      </c>
      <c r="E93" s="65" t="e">
        <f>IF(D93='ROI Calc'!$K$7,D93,NA())</f>
        <v>#N/A</v>
      </c>
      <c r="F93" s="3">
        <f t="shared" si="3"/>
        <v>3973.0000000000009</v>
      </c>
    </row>
    <row r="94" spans="3:6" x14ac:dyDescent="0.25">
      <c r="C94" s="3">
        <f t="shared" si="4"/>
        <v>347637.50000000006</v>
      </c>
      <c r="D94" s="2">
        <v>93</v>
      </c>
      <c r="E94" s="65" t="e">
        <f>IF(D94='ROI Calc'!$K$7,D94,NA())</f>
        <v>#N/A</v>
      </c>
      <c r="F94" s="3">
        <f t="shared" si="3"/>
        <v>3973.0000000000009</v>
      </c>
    </row>
    <row r="95" spans="3:6" x14ac:dyDescent="0.25">
      <c r="C95" s="3">
        <f t="shared" si="4"/>
        <v>351610.50000000006</v>
      </c>
      <c r="D95" s="2">
        <v>94</v>
      </c>
      <c r="E95" s="65" t="e">
        <f>IF(D95='ROI Calc'!$K$7,D95,NA())</f>
        <v>#N/A</v>
      </c>
      <c r="F95" s="3">
        <f t="shared" si="3"/>
        <v>3973.0000000000009</v>
      </c>
    </row>
    <row r="96" spans="3:6" x14ac:dyDescent="0.25">
      <c r="C96" s="3">
        <f t="shared" si="4"/>
        <v>355583.50000000006</v>
      </c>
      <c r="D96" s="2">
        <v>95</v>
      </c>
      <c r="E96" s="65" t="e">
        <f>IF(D96='ROI Calc'!$K$7,D96,NA())</f>
        <v>#N/A</v>
      </c>
      <c r="F96" s="3">
        <f t="shared" si="3"/>
        <v>3973.0000000000009</v>
      </c>
    </row>
    <row r="97" spans="3:6" x14ac:dyDescent="0.25">
      <c r="C97" s="3">
        <f t="shared" si="4"/>
        <v>359556.50000000006</v>
      </c>
      <c r="D97" s="2">
        <v>96</v>
      </c>
      <c r="E97" s="65" t="e">
        <f>IF(D97='ROI Calc'!$K$7,D97,NA())</f>
        <v>#N/A</v>
      </c>
      <c r="F97" s="3">
        <f t="shared" si="3"/>
        <v>3973.0000000000009</v>
      </c>
    </row>
    <row r="98" spans="3:6" x14ac:dyDescent="0.25">
      <c r="C98" s="3">
        <f t="shared" si="4"/>
        <v>363529.50000000006</v>
      </c>
      <c r="D98" s="2">
        <v>97</v>
      </c>
      <c r="E98" s="65" t="e">
        <f>IF(D98='ROI Calc'!$K$7,D98,NA())</f>
        <v>#N/A</v>
      </c>
      <c r="F98" s="3">
        <f t="shared" si="3"/>
        <v>3973.0000000000009</v>
      </c>
    </row>
    <row r="99" spans="3:6" x14ac:dyDescent="0.25">
      <c r="C99" s="3">
        <f t="shared" si="4"/>
        <v>367502.50000000006</v>
      </c>
      <c r="D99" s="2">
        <v>98</v>
      </c>
      <c r="E99" s="65" t="e">
        <f>IF(D99='ROI Calc'!$K$7,D99,NA())</f>
        <v>#N/A</v>
      </c>
      <c r="F99" s="3">
        <f t="shared" ref="F99:F121" si="5">IF(F98+$A$2&gt;$A$3,$A$3,F98+$A$2)</f>
        <v>3973.0000000000009</v>
      </c>
    </row>
    <row r="100" spans="3:6" x14ac:dyDescent="0.25">
      <c r="C100" s="3">
        <f t="shared" si="4"/>
        <v>371475.50000000006</v>
      </c>
      <c r="D100" s="2">
        <v>99</v>
      </c>
      <c r="E100" s="65" t="e">
        <f>IF(D100='ROI Calc'!$K$7,D100,NA())</f>
        <v>#N/A</v>
      </c>
      <c r="F100" s="3">
        <f t="shared" si="5"/>
        <v>3973.0000000000009</v>
      </c>
    </row>
    <row r="101" spans="3:6" x14ac:dyDescent="0.25">
      <c r="C101" s="3">
        <f t="shared" si="4"/>
        <v>375448.50000000006</v>
      </c>
      <c r="D101" s="2">
        <v>100</v>
      </c>
      <c r="E101" s="65" t="e">
        <f>IF(D101='ROI Calc'!$K$7,D101,NA())</f>
        <v>#N/A</v>
      </c>
      <c r="F101" s="3">
        <f t="shared" si="5"/>
        <v>3973.0000000000009</v>
      </c>
    </row>
    <row r="102" spans="3:6" x14ac:dyDescent="0.25">
      <c r="C102" s="3">
        <f t="shared" ref="C102:C118" si="6">C101+F102</f>
        <v>379421.50000000006</v>
      </c>
      <c r="D102" s="2">
        <v>101</v>
      </c>
      <c r="E102" s="65" t="e">
        <f>IF(D102='ROI Calc'!$K$7,D102,NA())</f>
        <v>#N/A</v>
      </c>
      <c r="F102" s="3">
        <f t="shared" si="5"/>
        <v>3973.0000000000009</v>
      </c>
    </row>
    <row r="103" spans="3:6" x14ac:dyDescent="0.25">
      <c r="C103" s="3">
        <f t="shared" si="6"/>
        <v>383394.50000000006</v>
      </c>
      <c r="D103" s="2">
        <v>102</v>
      </c>
      <c r="E103" s="65" t="e">
        <f>IF(D103='ROI Calc'!$K$7,D103,NA())</f>
        <v>#N/A</v>
      </c>
      <c r="F103" s="3">
        <f t="shared" si="5"/>
        <v>3973.0000000000009</v>
      </c>
    </row>
    <row r="104" spans="3:6" x14ac:dyDescent="0.25">
      <c r="C104" s="3">
        <f t="shared" si="6"/>
        <v>387367.50000000006</v>
      </c>
      <c r="D104" s="2">
        <v>103</v>
      </c>
      <c r="E104" s="65" t="e">
        <f>IF(D104='ROI Calc'!$K$7,D104,NA())</f>
        <v>#N/A</v>
      </c>
      <c r="F104" s="3">
        <f t="shared" si="5"/>
        <v>3973.0000000000009</v>
      </c>
    </row>
    <row r="105" spans="3:6" x14ac:dyDescent="0.25">
      <c r="C105" s="3">
        <f t="shared" si="6"/>
        <v>391340.50000000006</v>
      </c>
      <c r="D105" s="2">
        <v>104</v>
      </c>
      <c r="E105" s="65" t="e">
        <f>IF(D105='ROI Calc'!$K$7,D105,NA())</f>
        <v>#N/A</v>
      </c>
      <c r="F105" s="3">
        <f t="shared" si="5"/>
        <v>3973.0000000000009</v>
      </c>
    </row>
    <row r="106" spans="3:6" x14ac:dyDescent="0.25">
      <c r="C106" s="3">
        <f t="shared" si="6"/>
        <v>395313.50000000006</v>
      </c>
      <c r="D106" s="2">
        <v>105</v>
      </c>
      <c r="E106" s="65" t="e">
        <f>IF(D106='ROI Calc'!$K$7,D106,NA())</f>
        <v>#N/A</v>
      </c>
      <c r="F106" s="3">
        <f t="shared" si="5"/>
        <v>3973.0000000000009</v>
      </c>
    </row>
    <row r="107" spans="3:6" x14ac:dyDescent="0.25">
      <c r="C107" s="3">
        <f t="shared" si="6"/>
        <v>399286.50000000006</v>
      </c>
      <c r="D107" s="2">
        <v>106</v>
      </c>
      <c r="E107" s="65" t="e">
        <f>IF(D107='ROI Calc'!$K$7,D107,NA())</f>
        <v>#N/A</v>
      </c>
      <c r="F107" s="3">
        <f t="shared" si="5"/>
        <v>3973.0000000000009</v>
      </c>
    </row>
    <row r="108" spans="3:6" x14ac:dyDescent="0.25">
      <c r="C108" s="3">
        <f t="shared" si="6"/>
        <v>403259.50000000006</v>
      </c>
      <c r="D108" s="2">
        <v>107</v>
      </c>
      <c r="E108" s="65" t="e">
        <f>IF(D108='ROI Calc'!$K$7,D108,NA())</f>
        <v>#N/A</v>
      </c>
      <c r="F108" s="3">
        <f t="shared" si="5"/>
        <v>3973.0000000000009</v>
      </c>
    </row>
    <row r="109" spans="3:6" x14ac:dyDescent="0.25">
      <c r="C109" s="3">
        <f t="shared" si="6"/>
        <v>407232.50000000006</v>
      </c>
      <c r="D109" s="2">
        <v>108</v>
      </c>
      <c r="E109" s="65" t="e">
        <f>IF(D109='ROI Calc'!$K$7,D109,NA())</f>
        <v>#N/A</v>
      </c>
      <c r="F109" s="3">
        <f t="shared" si="5"/>
        <v>3973.0000000000009</v>
      </c>
    </row>
    <row r="110" spans="3:6" x14ac:dyDescent="0.25">
      <c r="C110" s="3">
        <f t="shared" si="6"/>
        <v>411205.50000000006</v>
      </c>
      <c r="D110" s="2">
        <v>109</v>
      </c>
      <c r="E110" s="65" t="e">
        <f>IF(D110='ROI Calc'!$K$7,D110,NA())</f>
        <v>#N/A</v>
      </c>
      <c r="F110" s="3">
        <f t="shared" si="5"/>
        <v>3973.0000000000009</v>
      </c>
    </row>
    <row r="111" spans="3:6" x14ac:dyDescent="0.25">
      <c r="C111" s="3">
        <f t="shared" si="6"/>
        <v>415178.50000000006</v>
      </c>
      <c r="D111" s="2">
        <v>110</v>
      </c>
      <c r="E111" s="65" t="e">
        <f>IF(D111='ROI Calc'!$K$7,D111,NA())</f>
        <v>#N/A</v>
      </c>
      <c r="F111" s="3">
        <f t="shared" si="5"/>
        <v>3973.0000000000009</v>
      </c>
    </row>
    <row r="112" spans="3:6" x14ac:dyDescent="0.25">
      <c r="C112" s="3">
        <f t="shared" si="6"/>
        <v>419151.50000000006</v>
      </c>
      <c r="D112" s="2">
        <v>111</v>
      </c>
      <c r="E112" s="65" t="e">
        <f>IF(D112='ROI Calc'!$K$7,D112,NA())</f>
        <v>#N/A</v>
      </c>
      <c r="F112" s="3">
        <f t="shared" si="5"/>
        <v>3973.0000000000009</v>
      </c>
    </row>
    <row r="113" spans="3:6" x14ac:dyDescent="0.25">
      <c r="C113" s="3">
        <f t="shared" si="6"/>
        <v>423124.50000000006</v>
      </c>
      <c r="D113" s="2">
        <v>112</v>
      </c>
      <c r="E113" s="65" t="e">
        <f>IF(D113='ROI Calc'!$K$7,D113,NA())</f>
        <v>#N/A</v>
      </c>
      <c r="F113" s="3">
        <f t="shared" si="5"/>
        <v>3973.0000000000009</v>
      </c>
    </row>
    <row r="114" spans="3:6" x14ac:dyDescent="0.25">
      <c r="C114" s="3">
        <f t="shared" si="6"/>
        <v>427097.50000000006</v>
      </c>
      <c r="D114" s="2">
        <v>113</v>
      </c>
      <c r="E114" s="65" t="e">
        <f>IF(D114='ROI Calc'!$K$7,D114,NA())</f>
        <v>#N/A</v>
      </c>
      <c r="F114" s="3">
        <f t="shared" si="5"/>
        <v>3973.0000000000009</v>
      </c>
    </row>
    <row r="115" spans="3:6" x14ac:dyDescent="0.25">
      <c r="C115" s="3">
        <f t="shared" si="6"/>
        <v>431070.50000000006</v>
      </c>
      <c r="D115" s="2">
        <v>114</v>
      </c>
      <c r="E115" s="65" t="e">
        <f>IF(D115='ROI Calc'!$K$7,D115,NA())</f>
        <v>#N/A</v>
      </c>
      <c r="F115" s="3">
        <f t="shared" si="5"/>
        <v>3973.0000000000009</v>
      </c>
    </row>
    <row r="116" spans="3:6" x14ac:dyDescent="0.25">
      <c r="C116" s="3">
        <f t="shared" si="6"/>
        <v>435043.50000000006</v>
      </c>
      <c r="D116" s="2">
        <v>115</v>
      </c>
      <c r="E116" s="65" t="e">
        <f>IF(D116='ROI Calc'!$K$7,D116,NA())</f>
        <v>#N/A</v>
      </c>
      <c r="F116" s="3">
        <f t="shared" si="5"/>
        <v>3973.0000000000009</v>
      </c>
    </row>
    <row r="117" spans="3:6" x14ac:dyDescent="0.25">
      <c r="C117" s="3">
        <f t="shared" si="6"/>
        <v>439016.50000000006</v>
      </c>
      <c r="D117" s="2">
        <v>116</v>
      </c>
      <c r="E117" s="65" t="e">
        <f>IF(D117='ROI Calc'!$K$7,D117,NA())</f>
        <v>#N/A</v>
      </c>
      <c r="F117" s="3">
        <f t="shared" si="5"/>
        <v>3973.0000000000009</v>
      </c>
    </row>
    <row r="118" spans="3:6" x14ac:dyDescent="0.25">
      <c r="C118" s="3">
        <f t="shared" si="6"/>
        <v>442989.50000000006</v>
      </c>
      <c r="D118" s="2">
        <v>117</v>
      </c>
      <c r="E118" s="65" t="e">
        <f>IF(D118='ROI Calc'!$K$7,D118,NA())</f>
        <v>#N/A</v>
      </c>
      <c r="F118" s="3">
        <f t="shared" si="5"/>
        <v>3973.0000000000009</v>
      </c>
    </row>
    <row r="119" spans="3:6" x14ac:dyDescent="0.25">
      <c r="C119" s="3">
        <f t="shared" ref="C119:C121" si="7">C118+F119</f>
        <v>446962.50000000006</v>
      </c>
      <c r="D119" s="2">
        <v>118</v>
      </c>
      <c r="E119" s="65" t="e">
        <f>IF(D119='ROI Calc'!$K$7,D119,NA())</f>
        <v>#N/A</v>
      </c>
      <c r="F119" s="3">
        <f t="shared" si="5"/>
        <v>3973.0000000000009</v>
      </c>
    </row>
    <row r="120" spans="3:6" x14ac:dyDescent="0.25">
      <c r="C120" s="3">
        <f t="shared" si="7"/>
        <v>450935.50000000006</v>
      </c>
      <c r="D120" s="2">
        <v>119</v>
      </c>
      <c r="E120" s="65" t="e">
        <f>IF(D120='ROI Calc'!$K$7,D120,NA())</f>
        <v>#N/A</v>
      </c>
      <c r="F120" s="3">
        <f t="shared" si="5"/>
        <v>3973.0000000000009</v>
      </c>
    </row>
    <row r="121" spans="3:6" x14ac:dyDescent="0.25">
      <c r="C121" s="3">
        <f t="shared" si="7"/>
        <v>454908.50000000006</v>
      </c>
      <c r="D121" s="2">
        <v>120</v>
      </c>
      <c r="E121" s="65" t="e">
        <f>IF(D121='ROI Calc'!$K$7,D121,NA())</f>
        <v>#N/A</v>
      </c>
      <c r="F121" s="3">
        <f t="shared" si="5"/>
        <v>3973.0000000000009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FB6C3-D8AD-495B-9572-0869FA264225}">
  <dimension ref="A1:D11"/>
  <sheetViews>
    <sheetView workbookViewId="0">
      <selection activeCell="B5" sqref="B5"/>
    </sheetView>
  </sheetViews>
  <sheetFormatPr defaultRowHeight="15" x14ac:dyDescent="0.25"/>
  <cols>
    <col min="1" max="1" width="30.85546875" style="1" customWidth="1"/>
    <col min="2" max="2" width="29.140625" style="1" customWidth="1"/>
    <col min="3" max="3" width="17" style="2" customWidth="1"/>
    <col min="4" max="4" width="16.85546875" style="2" customWidth="1"/>
    <col min="5" max="16384" width="9.140625" style="1"/>
  </cols>
  <sheetData>
    <row r="1" spans="1:4" x14ac:dyDescent="0.25">
      <c r="C1" s="2" t="s">
        <v>100</v>
      </c>
      <c r="D1" s="2" t="s">
        <v>101</v>
      </c>
    </row>
    <row r="2" spans="1:4" x14ac:dyDescent="0.25">
      <c r="A2" s="1" t="s">
        <v>73</v>
      </c>
      <c r="B2" s="1" t="s">
        <v>92</v>
      </c>
      <c r="C2" s="2" t="s">
        <v>103</v>
      </c>
    </row>
    <row r="3" spans="1:4" x14ac:dyDescent="0.25">
      <c r="A3" s="1" t="s">
        <v>74</v>
      </c>
      <c r="B3" s="1" t="s">
        <v>93</v>
      </c>
      <c r="C3" s="2" t="s">
        <v>103</v>
      </c>
    </row>
    <row r="4" spans="1:4" x14ac:dyDescent="0.25">
      <c r="A4" s="1" t="s">
        <v>76</v>
      </c>
      <c r="B4" s="1" t="s">
        <v>94</v>
      </c>
      <c r="C4" s="2" t="s">
        <v>103</v>
      </c>
    </row>
    <row r="5" spans="1:4" x14ac:dyDescent="0.25">
      <c r="A5" s="1" t="s">
        <v>80</v>
      </c>
      <c r="B5" s="1" t="s">
        <v>95</v>
      </c>
      <c r="C5" s="2" t="s">
        <v>103</v>
      </c>
    </row>
    <row r="6" spans="1:4" x14ac:dyDescent="0.25">
      <c r="A6" s="1" t="s">
        <v>81</v>
      </c>
      <c r="B6" s="1" t="s">
        <v>96</v>
      </c>
      <c r="C6" s="2" t="s">
        <v>103</v>
      </c>
    </row>
    <row r="7" spans="1:4" x14ac:dyDescent="0.25">
      <c r="A7" s="1" t="s">
        <v>86</v>
      </c>
      <c r="B7" s="1" t="s">
        <v>97</v>
      </c>
      <c r="C7" s="2" t="s">
        <v>103</v>
      </c>
    </row>
    <row r="8" spans="1:4" x14ac:dyDescent="0.25">
      <c r="A8" s="1" t="s">
        <v>84</v>
      </c>
      <c r="B8" s="1" t="s">
        <v>71</v>
      </c>
      <c r="C8" s="2" t="s">
        <v>103</v>
      </c>
    </row>
    <row r="9" spans="1:4" x14ac:dyDescent="0.25">
      <c r="A9" s="1" t="s">
        <v>89</v>
      </c>
      <c r="B9" s="1" t="s">
        <v>98</v>
      </c>
      <c r="C9" s="2" t="s">
        <v>103</v>
      </c>
    </row>
    <row r="10" spans="1:4" x14ac:dyDescent="0.25">
      <c r="B10" s="1" t="s">
        <v>99</v>
      </c>
      <c r="C10" s="2" t="s">
        <v>103</v>
      </c>
    </row>
    <row r="11" spans="1:4" x14ac:dyDescent="0.25">
      <c r="B11" s="1" t="s">
        <v>102</v>
      </c>
      <c r="C11" s="2" t="s">
        <v>103</v>
      </c>
      <c r="D11" s="2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B8331-82A7-4968-9C65-409FA5C43FDA}">
  <dimension ref="A1:K33"/>
  <sheetViews>
    <sheetView workbookViewId="0">
      <selection activeCell="A11" sqref="A11"/>
    </sheetView>
  </sheetViews>
  <sheetFormatPr defaultColWidth="36.5703125" defaultRowHeight="24" customHeight="1" x14ac:dyDescent="0.25"/>
  <cols>
    <col min="1" max="1" width="61.42578125" style="16" customWidth="1"/>
    <col min="2" max="2" width="16.5703125" style="2" customWidth="1"/>
    <col min="3" max="4" width="17.140625" style="2" customWidth="1"/>
    <col min="5" max="5" width="4.85546875" style="2" customWidth="1"/>
    <col min="6" max="8" width="17.140625" style="2" customWidth="1"/>
    <col min="9" max="10" width="17.140625" style="2" hidden="1" customWidth="1"/>
    <col min="11" max="16384" width="36.5703125" style="9"/>
  </cols>
  <sheetData>
    <row r="1" spans="1:11" ht="24" customHeight="1" x14ac:dyDescent="0.25">
      <c r="B1" s="69" t="s">
        <v>47</v>
      </c>
      <c r="C1" s="69"/>
      <c r="D1" s="69"/>
      <c r="E1" s="71"/>
      <c r="F1" s="70" t="s">
        <v>48</v>
      </c>
      <c r="G1" s="69"/>
      <c r="H1" s="69"/>
    </row>
    <row r="2" spans="1:11" ht="33" customHeight="1" x14ac:dyDescent="0.25">
      <c r="A2" s="45" t="s">
        <v>29</v>
      </c>
      <c r="B2" s="29" t="s">
        <v>49</v>
      </c>
      <c r="C2" s="29" t="s">
        <v>50</v>
      </c>
      <c r="D2" s="29" t="s">
        <v>51</v>
      </c>
      <c r="E2" s="71"/>
      <c r="F2" s="55" t="s">
        <v>49</v>
      </c>
      <c r="G2" s="29" t="s">
        <v>50</v>
      </c>
      <c r="H2" s="29" t="s">
        <v>51</v>
      </c>
      <c r="I2" s="4" t="s">
        <v>45</v>
      </c>
      <c r="J2" s="4" t="s">
        <v>46</v>
      </c>
    </row>
    <row r="3" spans="1:11" ht="15" customHeight="1" x14ac:dyDescent="0.25">
      <c r="A3" s="42" t="s">
        <v>30</v>
      </c>
      <c r="B3" s="30">
        <v>0.05</v>
      </c>
      <c r="C3" s="31">
        <f>B3*I3</f>
        <v>2.5000000000000001E-2</v>
      </c>
      <c r="D3" s="31">
        <f>B3*J3</f>
        <v>2.5000000000000001E-2</v>
      </c>
      <c r="E3" s="71"/>
      <c r="F3" s="56">
        <f>B3/2</f>
        <v>2.5000000000000001E-2</v>
      </c>
      <c r="G3" s="32">
        <f>F3*I3</f>
        <v>1.2500000000000001E-2</v>
      </c>
      <c r="H3" s="32">
        <f>F3*J3</f>
        <v>1.2500000000000001E-2</v>
      </c>
      <c r="I3" s="18">
        <v>0.5</v>
      </c>
      <c r="J3" s="18">
        <f>1-I3</f>
        <v>0.5</v>
      </c>
    </row>
    <row r="4" spans="1:11" ht="15" customHeight="1" x14ac:dyDescent="0.25">
      <c r="A4" s="42" t="s">
        <v>31</v>
      </c>
      <c r="B4" s="30">
        <v>0.01</v>
      </c>
      <c r="C4" s="31">
        <f>B4*I4</f>
        <v>5.0000000000000001E-3</v>
      </c>
      <c r="D4" s="31">
        <f>B4*J4</f>
        <v>5.0000000000000001E-3</v>
      </c>
      <c r="E4" s="71"/>
      <c r="F4" s="56">
        <f t="shared" ref="F4:F24" si="0">B4/2</f>
        <v>5.0000000000000001E-3</v>
      </c>
      <c r="G4" s="32">
        <f>F4*I4</f>
        <v>2.5000000000000001E-3</v>
      </c>
      <c r="H4" s="32">
        <f>F4*J4</f>
        <v>2.5000000000000001E-3</v>
      </c>
      <c r="I4" s="18">
        <v>0.5</v>
      </c>
      <c r="J4" s="18">
        <f t="shared" ref="J4:J24" si="1">1-I4</f>
        <v>0.5</v>
      </c>
    </row>
    <row r="5" spans="1:11" ht="15" customHeight="1" x14ac:dyDescent="0.25">
      <c r="A5" s="42" t="s">
        <v>32</v>
      </c>
      <c r="B5" s="30">
        <v>2.5000000000000001E-2</v>
      </c>
      <c r="C5" s="31">
        <f>B5*I5</f>
        <v>1.2500000000000001E-2</v>
      </c>
      <c r="D5" s="31">
        <f>B5*J5</f>
        <v>1.2500000000000001E-2</v>
      </c>
      <c r="E5" s="71"/>
      <c r="F5" s="56">
        <f t="shared" si="0"/>
        <v>1.2500000000000001E-2</v>
      </c>
      <c r="G5" s="32">
        <f>F5*I5</f>
        <v>6.2500000000000003E-3</v>
      </c>
      <c r="H5" s="32">
        <f>F5*J5</f>
        <v>6.2500000000000003E-3</v>
      </c>
      <c r="I5" s="18">
        <v>0.5</v>
      </c>
      <c r="J5" s="18">
        <f t="shared" si="1"/>
        <v>0.5</v>
      </c>
    </row>
    <row r="6" spans="1:11" ht="15" customHeight="1" x14ac:dyDescent="0.25">
      <c r="A6" s="42" t="s">
        <v>33</v>
      </c>
      <c r="B6" s="30">
        <v>5.0000000000000001E-3</v>
      </c>
      <c r="C6" s="31">
        <f>B6*I6</f>
        <v>3.7499999999999999E-3</v>
      </c>
      <c r="D6" s="31">
        <f>B6*J6</f>
        <v>1.25E-3</v>
      </c>
      <c r="E6" s="71"/>
      <c r="F6" s="56">
        <f t="shared" si="0"/>
        <v>2.5000000000000001E-3</v>
      </c>
      <c r="G6" s="32">
        <f>F6*I6</f>
        <v>1.8749999999999999E-3</v>
      </c>
      <c r="H6" s="32">
        <f>F6*J6</f>
        <v>6.2500000000000001E-4</v>
      </c>
      <c r="I6" s="18">
        <v>0.75</v>
      </c>
      <c r="J6" s="18">
        <f t="shared" si="1"/>
        <v>0.25</v>
      </c>
    </row>
    <row r="7" spans="1:11" ht="24" customHeight="1" x14ac:dyDescent="0.25">
      <c r="A7" s="43" t="s">
        <v>26</v>
      </c>
      <c r="B7" s="38">
        <f t="shared" ref="B7:F7" si="2">SUM(B3:B6)</f>
        <v>9.0000000000000011E-2</v>
      </c>
      <c r="C7" s="39">
        <f>(B7)*I7</f>
        <v>5.0625000000000003E-2</v>
      </c>
      <c r="D7" s="39">
        <f>B7*J7</f>
        <v>3.9375000000000007E-2</v>
      </c>
      <c r="E7" s="71"/>
      <c r="F7" s="57">
        <f t="shared" si="2"/>
        <v>4.5000000000000005E-2</v>
      </c>
      <c r="G7" s="40">
        <f>F7*I7</f>
        <v>2.5312500000000002E-2</v>
      </c>
      <c r="H7" s="40">
        <f>F7*J7</f>
        <v>1.9687500000000004E-2</v>
      </c>
      <c r="I7" s="22">
        <f>AVERAGE(I3:I6)</f>
        <v>0.5625</v>
      </c>
      <c r="J7" s="22">
        <f>AVERAGE(J3:J6)</f>
        <v>0.4375</v>
      </c>
      <c r="K7" s="20"/>
    </row>
    <row r="8" spans="1:11" ht="24" customHeight="1" x14ac:dyDescent="0.25">
      <c r="A8" s="41"/>
      <c r="B8" s="34"/>
      <c r="C8" s="21"/>
      <c r="D8" s="35"/>
      <c r="E8" s="71"/>
      <c r="F8" s="36"/>
      <c r="G8" s="37"/>
      <c r="H8" s="37"/>
      <c r="I8" s="22"/>
      <c r="J8" s="22"/>
      <c r="K8" s="20"/>
    </row>
    <row r="9" spans="1:11" ht="24" customHeight="1" x14ac:dyDescent="0.25">
      <c r="A9" s="33"/>
      <c r="B9" s="69" t="s">
        <v>47</v>
      </c>
      <c r="C9" s="69"/>
      <c r="D9" s="69"/>
      <c r="E9" s="71"/>
      <c r="F9" s="70" t="s">
        <v>48</v>
      </c>
      <c r="G9" s="69"/>
      <c r="H9" s="69"/>
      <c r="I9" s="22"/>
      <c r="J9" s="22"/>
      <c r="K9" s="20"/>
    </row>
    <row r="10" spans="1:11" ht="57.75" customHeight="1" x14ac:dyDescent="0.25">
      <c r="A10" s="49" t="s">
        <v>34</v>
      </c>
      <c r="B10" s="46" t="s">
        <v>49</v>
      </c>
      <c r="C10" s="47" t="s">
        <v>50</v>
      </c>
      <c r="D10" s="47" t="s">
        <v>51</v>
      </c>
      <c r="E10" s="71"/>
      <c r="F10" s="58" t="s">
        <v>49</v>
      </c>
      <c r="G10" s="48" t="s">
        <v>50</v>
      </c>
      <c r="H10" s="48" t="s">
        <v>51</v>
      </c>
      <c r="I10" s="18"/>
      <c r="J10" s="18"/>
    </row>
    <row r="11" spans="1:11" ht="24" customHeight="1" x14ac:dyDescent="0.25">
      <c r="A11" s="28" t="s">
        <v>35</v>
      </c>
      <c r="B11" s="30">
        <v>0.01</v>
      </c>
      <c r="C11" s="31">
        <f>B11*I11</f>
        <v>7.4999999999999997E-3</v>
      </c>
      <c r="D11" s="31">
        <f>B11*J11</f>
        <v>2.5000000000000001E-3</v>
      </c>
      <c r="E11" s="71"/>
      <c r="F11" s="56">
        <f t="shared" si="0"/>
        <v>5.0000000000000001E-3</v>
      </c>
      <c r="G11" s="32">
        <f>F11*I11</f>
        <v>3.7499999999999999E-3</v>
      </c>
      <c r="H11" s="32">
        <f>F11*J11</f>
        <v>1.25E-3</v>
      </c>
      <c r="I11" s="18">
        <v>0.75</v>
      </c>
      <c r="J11" s="18">
        <f t="shared" si="1"/>
        <v>0.25</v>
      </c>
    </row>
    <row r="12" spans="1:11" ht="24" customHeight="1" x14ac:dyDescent="0.25">
      <c r="A12" s="28" t="s">
        <v>36</v>
      </c>
      <c r="B12" s="30">
        <v>5.0000000000000001E-3</v>
      </c>
      <c r="C12" s="31">
        <f>B12*I12</f>
        <v>2.5000000000000001E-3</v>
      </c>
      <c r="D12" s="31">
        <f>B12*J12</f>
        <v>2.5000000000000001E-3</v>
      </c>
      <c r="E12" s="71"/>
      <c r="F12" s="56">
        <f t="shared" si="0"/>
        <v>2.5000000000000001E-3</v>
      </c>
      <c r="G12" s="32">
        <f>F12*I12</f>
        <v>1.25E-3</v>
      </c>
      <c r="H12" s="32">
        <f>F12*J12</f>
        <v>1.25E-3</v>
      </c>
      <c r="I12" s="18">
        <v>0.5</v>
      </c>
      <c r="J12" s="18">
        <f t="shared" si="1"/>
        <v>0.5</v>
      </c>
    </row>
    <row r="13" spans="1:11" ht="24" customHeight="1" x14ac:dyDescent="0.25">
      <c r="A13" s="28" t="s">
        <v>37</v>
      </c>
      <c r="B13" s="30">
        <v>0.02</v>
      </c>
      <c r="C13" s="31">
        <f>B13*I13</f>
        <v>1.8000000000000002E-2</v>
      </c>
      <c r="D13" s="31">
        <f>B13*J13</f>
        <v>1.9999999999999996E-3</v>
      </c>
      <c r="E13" s="71"/>
      <c r="F13" s="56">
        <f t="shared" si="0"/>
        <v>0.01</v>
      </c>
      <c r="G13" s="32">
        <f>F13*I13</f>
        <v>9.0000000000000011E-3</v>
      </c>
      <c r="H13" s="32">
        <f>F13*J13</f>
        <v>9.999999999999998E-4</v>
      </c>
      <c r="I13" s="18">
        <v>0.9</v>
      </c>
      <c r="J13" s="18">
        <f t="shared" si="1"/>
        <v>9.9999999999999978E-2</v>
      </c>
    </row>
    <row r="14" spans="1:11" ht="24" customHeight="1" x14ac:dyDescent="0.25">
      <c r="A14" s="51" t="s">
        <v>27</v>
      </c>
      <c r="B14" s="24">
        <f t="shared" ref="B14:F14" si="3">SUM(B11:B13)</f>
        <v>3.5000000000000003E-2</v>
      </c>
      <c r="C14" s="52">
        <f>B14*I14</f>
        <v>2.5083333333333336E-2</v>
      </c>
      <c r="D14" s="52">
        <f>B14*J14</f>
        <v>9.9166666666666674E-3</v>
      </c>
      <c r="E14" s="71"/>
      <c r="F14" s="59">
        <f t="shared" si="3"/>
        <v>1.7500000000000002E-2</v>
      </c>
      <c r="G14" s="53">
        <f>F14*I14</f>
        <v>1.2541666666666668E-2</v>
      </c>
      <c r="H14" s="53">
        <f>F14*J14</f>
        <v>4.9583333333333337E-3</v>
      </c>
      <c r="I14" s="22">
        <f>AVERAGE(I11:I13)</f>
        <v>0.71666666666666667</v>
      </c>
      <c r="J14" s="22">
        <f>AVERAGE(J11:J13)</f>
        <v>0.28333333333333333</v>
      </c>
    </row>
    <row r="15" spans="1:11" ht="24" customHeight="1" x14ac:dyDescent="0.25">
      <c r="A15" s="41"/>
      <c r="B15" s="34"/>
      <c r="C15" s="21"/>
      <c r="D15" s="35"/>
      <c r="E15" s="71"/>
      <c r="F15" s="36"/>
      <c r="G15" s="37"/>
      <c r="H15" s="37"/>
      <c r="I15" s="22"/>
      <c r="J15" s="22"/>
    </row>
    <row r="16" spans="1:11" ht="24" customHeight="1" x14ac:dyDescent="0.25">
      <c r="A16" s="33"/>
      <c r="B16" s="72" t="s">
        <v>47</v>
      </c>
      <c r="C16" s="72"/>
      <c r="D16" s="72"/>
      <c r="E16" s="71"/>
      <c r="F16" s="73" t="s">
        <v>48</v>
      </c>
      <c r="G16" s="72"/>
      <c r="H16" s="72"/>
      <c r="I16" s="22"/>
      <c r="J16" s="22"/>
    </row>
    <row r="17" spans="1:10" ht="60.75" customHeight="1" x14ac:dyDescent="0.25">
      <c r="A17" s="49" t="s">
        <v>38</v>
      </c>
      <c r="B17" s="46" t="s">
        <v>49</v>
      </c>
      <c r="C17" s="47" t="s">
        <v>50</v>
      </c>
      <c r="D17" s="47" t="s">
        <v>51</v>
      </c>
      <c r="E17" s="71"/>
      <c r="F17" s="58" t="s">
        <v>49</v>
      </c>
      <c r="G17" s="48" t="s">
        <v>50</v>
      </c>
      <c r="H17" s="48" t="s">
        <v>51</v>
      </c>
      <c r="I17" s="18"/>
      <c r="J17" s="18"/>
    </row>
    <row r="18" spans="1:10" ht="24" customHeight="1" x14ac:dyDescent="0.25">
      <c r="A18" s="28" t="s">
        <v>39</v>
      </c>
      <c r="B18" s="30">
        <v>2.5000000000000001E-3</v>
      </c>
      <c r="C18" s="31">
        <f>B18*I18</f>
        <v>1.25E-3</v>
      </c>
      <c r="D18" s="31">
        <f>B18*J18</f>
        <v>1.25E-3</v>
      </c>
      <c r="E18" s="71"/>
      <c r="F18" s="56">
        <f t="shared" si="0"/>
        <v>1.25E-3</v>
      </c>
      <c r="G18" s="32">
        <f>F18*I18</f>
        <v>6.2500000000000001E-4</v>
      </c>
      <c r="H18" s="32">
        <f>F18*J18</f>
        <v>6.2500000000000001E-4</v>
      </c>
      <c r="I18" s="18">
        <v>0.5</v>
      </c>
      <c r="J18" s="18">
        <f t="shared" si="1"/>
        <v>0.5</v>
      </c>
    </row>
    <row r="19" spans="1:10" ht="24" customHeight="1" x14ac:dyDescent="0.25">
      <c r="A19" s="28" t="s">
        <v>40</v>
      </c>
      <c r="B19" s="30">
        <v>4.0000000000000001E-3</v>
      </c>
      <c r="C19" s="31">
        <f>B19*I19</f>
        <v>2E-3</v>
      </c>
      <c r="D19" s="31">
        <f>B19*J19</f>
        <v>2E-3</v>
      </c>
      <c r="E19" s="71"/>
      <c r="F19" s="56">
        <f t="shared" si="0"/>
        <v>2E-3</v>
      </c>
      <c r="G19" s="32">
        <f>F19*I19</f>
        <v>1E-3</v>
      </c>
      <c r="H19" s="32">
        <f>F19*J19</f>
        <v>1E-3</v>
      </c>
      <c r="I19" s="18">
        <v>0.5</v>
      </c>
      <c r="J19" s="18">
        <f t="shared" si="1"/>
        <v>0.5</v>
      </c>
    </row>
    <row r="20" spans="1:10" ht="24" customHeight="1" x14ac:dyDescent="0.25">
      <c r="A20" s="51" t="s">
        <v>28</v>
      </c>
      <c r="B20" s="24">
        <f t="shared" ref="B20:F20" si="4">SUM(B18:B19)</f>
        <v>6.5000000000000006E-3</v>
      </c>
      <c r="C20" s="52">
        <f>I20*B20</f>
        <v>3.2500000000000003E-3</v>
      </c>
      <c r="D20" s="52">
        <f>B20*J20</f>
        <v>3.2500000000000003E-3</v>
      </c>
      <c r="E20" s="71"/>
      <c r="F20" s="59">
        <f t="shared" si="4"/>
        <v>3.2500000000000003E-3</v>
      </c>
      <c r="G20" s="53">
        <f>F20*I20</f>
        <v>1.6250000000000001E-3</v>
      </c>
      <c r="H20" s="53">
        <f>F20*J20</f>
        <v>1.6250000000000001E-3</v>
      </c>
      <c r="I20" s="22">
        <f>AVERAGE(I18:I19)</f>
        <v>0.5</v>
      </c>
      <c r="J20" s="22">
        <f>AVERAGE(J18:J19)</f>
        <v>0.5</v>
      </c>
    </row>
    <row r="21" spans="1:10" ht="24" customHeight="1" x14ac:dyDescent="0.25">
      <c r="A21" s="41"/>
      <c r="B21" s="34"/>
      <c r="C21" s="21"/>
      <c r="D21" s="35"/>
      <c r="E21" s="71"/>
      <c r="F21" s="36"/>
      <c r="G21" s="37"/>
      <c r="H21" s="37"/>
      <c r="I21" s="22"/>
      <c r="J21" s="22"/>
    </row>
    <row r="22" spans="1:10" ht="24" customHeight="1" x14ac:dyDescent="0.25">
      <c r="A22" s="41"/>
      <c r="B22" s="69" t="s">
        <v>47</v>
      </c>
      <c r="C22" s="69"/>
      <c r="D22" s="69"/>
      <c r="E22" s="71"/>
      <c r="F22" s="70" t="s">
        <v>48</v>
      </c>
      <c r="G22" s="69"/>
      <c r="H22" s="69"/>
      <c r="I22" s="22"/>
      <c r="J22" s="22"/>
    </row>
    <row r="23" spans="1:10" ht="44.25" customHeight="1" x14ac:dyDescent="0.25">
      <c r="A23" s="50" t="s">
        <v>41</v>
      </c>
      <c r="B23" s="46" t="s">
        <v>49</v>
      </c>
      <c r="C23" s="47" t="s">
        <v>50</v>
      </c>
      <c r="D23" s="47" t="s">
        <v>51</v>
      </c>
      <c r="E23" s="71"/>
      <c r="F23" s="58" t="s">
        <v>49</v>
      </c>
      <c r="G23" s="48" t="s">
        <v>50</v>
      </c>
      <c r="H23" s="48" t="s">
        <v>51</v>
      </c>
      <c r="I23" s="18"/>
      <c r="J23" s="18"/>
    </row>
    <row r="24" spans="1:10" ht="24" customHeight="1" x14ac:dyDescent="0.25">
      <c r="A24" s="28" t="s">
        <v>42</v>
      </c>
      <c r="B24" s="30">
        <v>0.05</v>
      </c>
      <c r="C24" s="31">
        <f>B24*I24</f>
        <v>1.0000000000000002E-2</v>
      </c>
      <c r="D24" s="31">
        <f>B24*J24</f>
        <v>4.0000000000000008E-2</v>
      </c>
      <c r="E24" s="71"/>
      <c r="F24" s="56">
        <f t="shared" si="0"/>
        <v>2.5000000000000001E-2</v>
      </c>
      <c r="G24" s="32">
        <f>F24*I24</f>
        <v>5.000000000000001E-3</v>
      </c>
      <c r="H24" s="32">
        <f>F24*J24</f>
        <v>2.0000000000000004E-2</v>
      </c>
      <c r="I24" s="18">
        <v>0.2</v>
      </c>
      <c r="J24" s="18">
        <f t="shared" si="1"/>
        <v>0.8</v>
      </c>
    </row>
    <row r="25" spans="1:10" ht="24" customHeight="1" x14ac:dyDescent="0.25">
      <c r="A25" s="44" t="s">
        <v>43</v>
      </c>
      <c r="B25" s="38">
        <f t="shared" ref="B25:F25" si="5">SUM(B24)</f>
        <v>0.05</v>
      </c>
      <c r="C25" s="39">
        <f>B25*I25</f>
        <v>1.0000000000000002E-2</v>
      </c>
      <c r="D25" s="39">
        <f>B25*J24</f>
        <v>4.0000000000000008E-2</v>
      </c>
      <c r="E25" s="71"/>
      <c r="F25" s="60">
        <f t="shared" si="5"/>
        <v>2.5000000000000001E-2</v>
      </c>
      <c r="G25" s="40">
        <f>F25*I25</f>
        <v>5.000000000000001E-3</v>
      </c>
      <c r="H25" s="40">
        <f>F25*J25</f>
        <v>2.0000000000000004E-2</v>
      </c>
      <c r="I25" s="23">
        <f>AVERAGE(I24)</f>
        <v>0.2</v>
      </c>
      <c r="J25" s="23">
        <f>AVERAGE(J24)</f>
        <v>0.8</v>
      </c>
    </row>
    <row r="26" spans="1:10" ht="24" customHeight="1" x14ac:dyDescent="0.25">
      <c r="A26" s="54" t="s">
        <v>44</v>
      </c>
      <c r="B26" s="24">
        <f>B7+B14+B20+B25</f>
        <v>0.18149999999999999</v>
      </c>
      <c r="C26" s="27">
        <f>C25+C20+C14+C7</f>
        <v>8.8958333333333334E-2</v>
      </c>
      <c r="D26" s="27">
        <f>D25+D20+D14+D7</f>
        <v>9.2541666666666689E-2</v>
      </c>
      <c r="E26" s="71"/>
      <c r="F26" s="61">
        <f>F7+F14+F20+F25</f>
        <v>9.0749999999999997E-2</v>
      </c>
      <c r="G26" s="27">
        <f>G25+G20+G14+G7</f>
        <v>4.4479166666666667E-2</v>
      </c>
      <c r="H26" s="27">
        <f>H25+H20+H14+H7</f>
        <v>4.6270833333333344E-2</v>
      </c>
      <c r="I26" s="18">
        <f>AVERAGE(I3:I25)*B26</f>
        <v>9.8258482142857151E-2</v>
      </c>
      <c r="J26" s="18">
        <f>AVERAGE(J3:J25)*F26</f>
        <v>4.1620758928571422E-2</v>
      </c>
    </row>
    <row r="28" spans="1:10" ht="24" customHeight="1" x14ac:dyDescent="0.25">
      <c r="A28" s="19" t="s">
        <v>52</v>
      </c>
      <c r="B28" s="26">
        <v>250000</v>
      </c>
      <c r="C28" s="21"/>
    </row>
    <row r="29" spans="1:10" ht="24" customHeight="1" x14ac:dyDescent="0.25">
      <c r="A29" s="19" t="s">
        <v>53</v>
      </c>
      <c r="B29" s="25">
        <v>5000000</v>
      </c>
    </row>
    <row r="30" spans="1:10" ht="24" customHeight="1" x14ac:dyDescent="0.25">
      <c r="A30" s="19" t="s">
        <v>54</v>
      </c>
      <c r="B30" s="17">
        <v>0.25</v>
      </c>
    </row>
    <row r="31" spans="1:10" ht="24" customHeight="1" x14ac:dyDescent="0.25">
      <c r="B31" s="2" t="s">
        <v>56</v>
      </c>
      <c r="C31" s="2" t="s">
        <v>57</v>
      </c>
    </row>
    <row r="32" spans="1:10" ht="24" customHeight="1" x14ac:dyDescent="0.25">
      <c r="A32" s="16" t="s">
        <v>55</v>
      </c>
    </row>
    <row r="33" spans="1:1" ht="24" customHeight="1" x14ac:dyDescent="0.25">
      <c r="A33" s="16" t="s">
        <v>46</v>
      </c>
    </row>
  </sheetData>
  <mergeCells count="9">
    <mergeCell ref="B22:D22"/>
    <mergeCell ref="F22:H22"/>
    <mergeCell ref="E1:E26"/>
    <mergeCell ref="B1:D1"/>
    <mergeCell ref="F1:H1"/>
    <mergeCell ref="B9:D9"/>
    <mergeCell ref="F9:H9"/>
    <mergeCell ref="B16:D16"/>
    <mergeCell ref="F16:H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C755-D5C0-4F01-B84D-153EA53A4CAA}">
  <dimension ref="A1:S75"/>
  <sheetViews>
    <sheetView workbookViewId="0">
      <selection activeCell="N1" sqref="N1:S1048576"/>
    </sheetView>
  </sheetViews>
  <sheetFormatPr defaultRowHeight="15" x14ac:dyDescent="0.25"/>
  <cols>
    <col min="1" max="1" width="21.7109375" customWidth="1"/>
    <col min="2" max="2" width="33.85546875" customWidth="1"/>
    <col min="4" max="4" width="8.7109375" style="5"/>
    <col min="6" max="6" width="20" style="62" customWidth="1"/>
    <col min="14" max="14" width="11" bestFit="1" customWidth="1"/>
  </cols>
  <sheetData>
    <row r="1" spans="1:19" x14ac:dyDescent="0.25">
      <c r="A1" t="s">
        <v>59</v>
      </c>
      <c r="B1" t="s">
        <v>20</v>
      </c>
      <c r="C1" t="s">
        <v>24</v>
      </c>
      <c r="D1" s="5">
        <v>0.05</v>
      </c>
      <c r="E1" s="63">
        <v>0.01</v>
      </c>
      <c r="F1" s="62" t="s">
        <v>58</v>
      </c>
      <c r="N1" t="s">
        <v>106</v>
      </c>
      <c r="O1" t="s">
        <v>107</v>
      </c>
      <c r="P1" t="s">
        <v>108</v>
      </c>
      <c r="Q1" t="s">
        <v>109</v>
      </c>
      <c r="R1" t="s">
        <v>110</v>
      </c>
      <c r="S1" t="s">
        <v>111</v>
      </c>
    </row>
    <row r="2" spans="1:19" x14ac:dyDescent="0.25">
      <c r="A2" t="s">
        <v>60</v>
      </c>
      <c r="B2" t="s">
        <v>21</v>
      </c>
      <c r="C2" t="s">
        <v>25</v>
      </c>
      <c r="D2" s="5">
        <v>0.1</v>
      </c>
      <c r="E2" s="63">
        <v>0.02</v>
      </c>
      <c r="F2" s="62">
        <v>95000</v>
      </c>
      <c r="N2">
        <v>1000</v>
      </c>
      <c r="O2" s="64">
        <v>0.35</v>
      </c>
      <c r="P2" s="64">
        <v>0.05</v>
      </c>
      <c r="Q2" s="64">
        <v>0.3</v>
      </c>
      <c r="R2" s="64">
        <v>0.4</v>
      </c>
      <c r="S2" s="64">
        <v>0.4</v>
      </c>
    </row>
    <row r="3" spans="1:19" x14ac:dyDescent="0.25">
      <c r="B3" t="s">
        <v>22</v>
      </c>
      <c r="D3" s="5">
        <v>0.15</v>
      </c>
      <c r="E3" s="63">
        <v>0.03</v>
      </c>
      <c r="N3">
        <v>250000</v>
      </c>
      <c r="O3" s="64">
        <v>0.38</v>
      </c>
      <c r="P3" s="64">
        <v>7.0000000000000007E-2</v>
      </c>
      <c r="Q3" s="64">
        <v>0.32</v>
      </c>
      <c r="R3" s="64">
        <v>0.42</v>
      </c>
      <c r="S3" s="64">
        <v>0.44</v>
      </c>
    </row>
    <row r="4" spans="1:19" x14ac:dyDescent="0.25">
      <c r="B4" t="s">
        <v>23</v>
      </c>
      <c r="D4" s="5">
        <v>0.2</v>
      </c>
      <c r="E4" s="63">
        <v>0.04</v>
      </c>
      <c r="N4">
        <v>1000000</v>
      </c>
      <c r="O4" s="64">
        <v>0.4</v>
      </c>
      <c r="P4" s="64">
        <v>0.09</v>
      </c>
      <c r="Q4" s="64">
        <v>0.34</v>
      </c>
      <c r="R4" s="64">
        <v>0.46</v>
      </c>
      <c r="S4" s="64">
        <v>0.46</v>
      </c>
    </row>
    <row r="5" spans="1:19" x14ac:dyDescent="0.25">
      <c r="D5" s="5">
        <v>0.25</v>
      </c>
      <c r="E5" s="63">
        <v>0.05</v>
      </c>
      <c r="N5">
        <v>5000000</v>
      </c>
      <c r="O5" s="64">
        <v>0.45</v>
      </c>
      <c r="P5" s="64">
        <v>0.11</v>
      </c>
      <c r="Q5" s="64">
        <v>0.36</v>
      </c>
      <c r="R5" s="64">
        <v>0.48</v>
      </c>
      <c r="S5" s="64">
        <v>0.5</v>
      </c>
    </row>
    <row r="6" spans="1:19" x14ac:dyDescent="0.25">
      <c r="D6" s="5">
        <v>0.3</v>
      </c>
      <c r="E6" s="63">
        <v>0.06</v>
      </c>
      <c r="N6">
        <v>20000000</v>
      </c>
      <c r="O6" s="64">
        <v>0.5</v>
      </c>
      <c r="P6" s="64">
        <v>0.13</v>
      </c>
      <c r="Q6" s="64">
        <v>0.38</v>
      </c>
      <c r="R6" s="64">
        <v>0.52</v>
      </c>
      <c r="S6" s="64">
        <v>0.52</v>
      </c>
    </row>
    <row r="7" spans="1:19" x14ac:dyDescent="0.25">
      <c r="D7" s="5">
        <v>0.35</v>
      </c>
      <c r="E7" s="63">
        <v>7.0000000000000007E-2</v>
      </c>
      <c r="N7">
        <v>1000000000</v>
      </c>
      <c r="O7" s="64">
        <v>0.6</v>
      </c>
      <c r="P7" s="64">
        <v>0.15</v>
      </c>
      <c r="Q7" s="64">
        <v>0.4</v>
      </c>
      <c r="R7" s="64">
        <v>0.6</v>
      </c>
      <c r="S7" s="64">
        <v>0.54</v>
      </c>
    </row>
    <row r="8" spans="1:19" x14ac:dyDescent="0.25">
      <c r="D8" s="5">
        <v>0.4</v>
      </c>
      <c r="E8" s="63">
        <v>0.08</v>
      </c>
    </row>
    <row r="9" spans="1:19" x14ac:dyDescent="0.25">
      <c r="D9" s="5">
        <v>0.45</v>
      </c>
      <c r="E9" s="63">
        <v>0.09</v>
      </c>
    </row>
    <row r="10" spans="1:19" x14ac:dyDescent="0.25">
      <c r="D10" s="5">
        <v>0.5</v>
      </c>
      <c r="E10" s="63">
        <v>0.1</v>
      </c>
    </row>
    <row r="11" spans="1:19" x14ac:dyDescent="0.25">
      <c r="D11" s="5">
        <v>0.55000000000000004</v>
      </c>
      <c r="E11" s="63">
        <v>0.11</v>
      </c>
    </row>
    <row r="12" spans="1:19" x14ac:dyDescent="0.25">
      <c r="D12" s="5">
        <v>0.6</v>
      </c>
      <c r="E12" s="63">
        <v>0.12</v>
      </c>
    </row>
    <row r="13" spans="1:19" x14ac:dyDescent="0.25">
      <c r="D13" s="5">
        <v>0.65</v>
      </c>
      <c r="E13" s="63">
        <v>0.13</v>
      </c>
    </row>
    <row r="14" spans="1:19" x14ac:dyDescent="0.25">
      <c r="D14" s="5">
        <v>0.7</v>
      </c>
      <c r="E14" s="63">
        <v>0.14000000000000001</v>
      </c>
    </row>
    <row r="15" spans="1:19" x14ac:dyDescent="0.25">
      <c r="D15" s="5">
        <v>0.75</v>
      </c>
      <c r="E15" s="63">
        <v>0.15</v>
      </c>
    </row>
    <row r="16" spans="1:19" x14ac:dyDescent="0.25">
      <c r="D16" s="5">
        <v>0.8</v>
      </c>
      <c r="E16" s="63">
        <v>0.16</v>
      </c>
    </row>
    <row r="17" spans="4:5" x14ac:dyDescent="0.25">
      <c r="D17" s="5">
        <v>0.85</v>
      </c>
      <c r="E17" s="63">
        <v>0.17</v>
      </c>
    </row>
    <row r="18" spans="4:5" x14ac:dyDescent="0.25">
      <c r="D18" s="5">
        <v>0.9</v>
      </c>
      <c r="E18" s="63">
        <v>0.18</v>
      </c>
    </row>
    <row r="19" spans="4:5" x14ac:dyDescent="0.25">
      <c r="D19" s="5">
        <v>0.95</v>
      </c>
      <c r="E19" s="63">
        <v>0.19</v>
      </c>
    </row>
    <row r="20" spans="4:5" x14ac:dyDescent="0.25">
      <c r="D20" s="5">
        <v>1</v>
      </c>
      <c r="E20" s="63">
        <v>0.2</v>
      </c>
    </row>
    <row r="21" spans="4:5" x14ac:dyDescent="0.25">
      <c r="E21" s="63">
        <v>0.21</v>
      </c>
    </row>
    <row r="22" spans="4:5" x14ac:dyDescent="0.25">
      <c r="E22" s="63">
        <v>0.22</v>
      </c>
    </row>
    <row r="23" spans="4:5" x14ac:dyDescent="0.25">
      <c r="E23" s="63">
        <v>0.23</v>
      </c>
    </row>
    <row r="24" spans="4:5" x14ac:dyDescent="0.25">
      <c r="E24" s="63">
        <v>0.24</v>
      </c>
    </row>
    <row r="25" spans="4:5" x14ac:dyDescent="0.25">
      <c r="E25" s="63">
        <v>0.25</v>
      </c>
    </row>
    <row r="26" spans="4:5" x14ac:dyDescent="0.25">
      <c r="E26" s="63">
        <v>0.26</v>
      </c>
    </row>
    <row r="27" spans="4:5" x14ac:dyDescent="0.25">
      <c r="E27" s="63">
        <v>0.27</v>
      </c>
    </row>
    <row r="28" spans="4:5" x14ac:dyDescent="0.25">
      <c r="E28" s="63">
        <v>0.28000000000000003</v>
      </c>
    </row>
    <row r="29" spans="4:5" x14ac:dyDescent="0.25">
      <c r="E29" s="63">
        <v>0.28999999999999998</v>
      </c>
    </row>
    <row r="30" spans="4:5" x14ac:dyDescent="0.25">
      <c r="E30" s="63">
        <v>0.3</v>
      </c>
    </row>
    <row r="31" spans="4:5" x14ac:dyDescent="0.25">
      <c r="E31" s="63">
        <v>0.31</v>
      </c>
    </row>
    <row r="32" spans="4:5" x14ac:dyDescent="0.25">
      <c r="E32" s="63">
        <v>0.32</v>
      </c>
    </row>
    <row r="33" spans="5:5" x14ac:dyDescent="0.25">
      <c r="E33" s="63">
        <v>0.33</v>
      </c>
    </row>
    <row r="34" spans="5:5" x14ac:dyDescent="0.25">
      <c r="E34" s="63">
        <v>0.34</v>
      </c>
    </row>
    <row r="35" spans="5:5" x14ac:dyDescent="0.25">
      <c r="E35" s="63">
        <v>0.35</v>
      </c>
    </row>
    <row r="36" spans="5:5" x14ac:dyDescent="0.25">
      <c r="E36" s="63">
        <v>0.36</v>
      </c>
    </row>
    <row r="37" spans="5:5" x14ac:dyDescent="0.25">
      <c r="E37" s="63">
        <v>0.37</v>
      </c>
    </row>
    <row r="38" spans="5:5" x14ac:dyDescent="0.25">
      <c r="E38" s="63">
        <v>0.38</v>
      </c>
    </row>
    <row r="39" spans="5:5" x14ac:dyDescent="0.25">
      <c r="E39" s="63">
        <v>0.39</v>
      </c>
    </row>
    <row r="40" spans="5:5" x14ac:dyDescent="0.25">
      <c r="E40" s="63">
        <v>0.4</v>
      </c>
    </row>
    <row r="41" spans="5:5" x14ac:dyDescent="0.25">
      <c r="E41" s="63">
        <v>0.41</v>
      </c>
    </row>
    <row r="42" spans="5:5" x14ac:dyDescent="0.25">
      <c r="E42" s="63">
        <v>0.42</v>
      </c>
    </row>
    <row r="43" spans="5:5" x14ac:dyDescent="0.25">
      <c r="E43" s="63">
        <v>0.43</v>
      </c>
    </row>
    <row r="44" spans="5:5" x14ac:dyDescent="0.25">
      <c r="E44" s="63">
        <v>0.44</v>
      </c>
    </row>
    <row r="45" spans="5:5" x14ac:dyDescent="0.25">
      <c r="E45" s="63">
        <v>0.45</v>
      </c>
    </row>
    <row r="46" spans="5:5" x14ac:dyDescent="0.25">
      <c r="E46" s="63">
        <v>0.46</v>
      </c>
    </row>
    <row r="47" spans="5:5" x14ac:dyDescent="0.25">
      <c r="E47" s="63">
        <v>0.47</v>
      </c>
    </row>
    <row r="48" spans="5:5" x14ac:dyDescent="0.25">
      <c r="E48" s="63">
        <v>0.48</v>
      </c>
    </row>
    <row r="49" spans="5:5" x14ac:dyDescent="0.25">
      <c r="E49" s="63">
        <v>0.49</v>
      </c>
    </row>
    <row r="50" spans="5:5" x14ac:dyDescent="0.25">
      <c r="E50" s="63">
        <v>0.5</v>
      </c>
    </row>
    <row r="51" spans="5:5" x14ac:dyDescent="0.25">
      <c r="E51" s="63">
        <v>0.51</v>
      </c>
    </row>
    <row r="52" spans="5:5" x14ac:dyDescent="0.25">
      <c r="E52" s="63">
        <v>0.52</v>
      </c>
    </row>
    <row r="53" spans="5:5" x14ac:dyDescent="0.25">
      <c r="E53" s="63">
        <v>0.53</v>
      </c>
    </row>
    <row r="54" spans="5:5" x14ac:dyDescent="0.25">
      <c r="E54" s="63">
        <v>0.54</v>
      </c>
    </row>
    <row r="55" spans="5:5" x14ac:dyDescent="0.25">
      <c r="E55" s="63">
        <v>0.55000000000000004</v>
      </c>
    </row>
    <row r="56" spans="5:5" x14ac:dyDescent="0.25">
      <c r="E56" s="63">
        <v>0.56000000000000005</v>
      </c>
    </row>
    <row r="57" spans="5:5" x14ac:dyDescent="0.25">
      <c r="E57" s="63">
        <v>0.56999999999999995</v>
      </c>
    </row>
    <row r="58" spans="5:5" x14ac:dyDescent="0.25">
      <c r="E58" s="63">
        <v>0.57999999999999996</v>
      </c>
    </row>
    <row r="59" spans="5:5" x14ac:dyDescent="0.25">
      <c r="E59" s="63">
        <v>0.59</v>
      </c>
    </row>
    <row r="60" spans="5:5" x14ac:dyDescent="0.25">
      <c r="E60" s="63">
        <v>0.6</v>
      </c>
    </row>
    <row r="61" spans="5:5" x14ac:dyDescent="0.25">
      <c r="E61" s="63">
        <v>0.61</v>
      </c>
    </row>
    <row r="62" spans="5:5" x14ac:dyDescent="0.25">
      <c r="E62" s="63">
        <v>0.62</v>
      </c>
    </row>
    <row r="63" spans="5:5" x14ac:dyDescent="0.25">
      <c r="E63" s="63">
        <v>0.63</v>
      </c>
    </row>
    <row r="64" spans="5:5" x14ac:dyDescent="0.25">
      <c r="E64" s="63">
        <v>0.64</v>
      </c>
    </row>
    <row r="65" spans="5:5" x14ac:dyDescent="0.25">
      <c r="E65" s="63">
        <v>0.65</v>
      </c>
    </row>
    <row r="66" spans="5:5" x14ac:dyDescent="0.25">
      <c r="E66" s="63">
        <v>0.66</v>
      </c>
    </row>
    <row r="67" spans="5:5" x14ac:dyDescent="0.25">
      <c r="E67" s="63">
        <v>0.67</v>
      </c>
    </row>
    <row r="68" spans="5:5" x14ac:dyDescent="0.25">
      <c r="E68" s="63">
        <v>0.68</v>
      </c>
    </row>
    <row r="69" spans="5:5" x14ac:dyDescent="0.25">
      <c r="E69" s="63">
        <v>0.69</v>
      </c>
    </row>
    <row r="70" spans="5:5" x14ac:dyDescent="0.25">
      <c r="E70" s="63">
        <v>0.7</v>
      </c>
    </row>
    <row r="71" spans="5:5" x14ac:dyDescent="0.25">
      <c r="E71" s="63">
        <v>0.71</v>
      </c>
    </row>
    <row r="72" spans="5:5" x14ac:dyDescent="0.25">
      <c r="E72" s="63">
        <v>0.72</v>
      </c>
    </row>
    <row r="73" spans="5:5" x14ac:dyDescent="0.25">
      <c r="E73" s="63">
        <v>0.73</v>
      </c>
    </row>
    <row r="74" spans="5:5" x14ac:dyDescent="0.25">
      <c r="E74" s="63">
        <v>0.74</v>
      </c>
    </row>
    <row r="75" spans="5:5" x14ac:dyDescent="0.25">
      <c r="E75" s="63">
        <v>0.75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459109788AD043927A2DA5FFBCF041" ma:contentTypeVersion="21" ma:contentTypeDescription="Create a new document." ma:contentTypeScope="" ma:versionID="d050c80c55dbec87d9d56c49b4db1bc5">
  <xsd:schema xmlns:xsd="http://www.w3.org/2001/XMLSchema" xmlns:xs="http://www.w3.org/2001/XMLSchema" xmlns:p="http://schemas.microsoft.com/office/2006/metadata/properties" xmlns:ns2="b4e0d7ac-7319-4120-901c-24b0658cc978" xmlns:ns3="dd1a6f3f-dacb-4891-8336-b3d796b1c666" targetNamespace="http://schemas.microsoft.com/office/2006/metadata/properties" ma:root="true" ma:fieldsID="9874e96e657ea19167cb348045d5085c" ns2:_="" ns3:_="">
    <xsd:import namespace="b4e0d7ac-7319-4120-901c-24b0658cc978"/>
    <xsd:import namespace="dd1a6f3f-dacb-4891-8336-b3d796b1c6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numbe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e0d7ac-7319-4120-901c-24b0658cc9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05e7b8-a511-4ab3-b38e-db15674657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number" ma:index="25" nillable="true" ma:displayName="number " ma:decimals="1" ma:default="1" ma:format="Dropdown" ma:internalName="number" ma:percentage="FALSE">
      <xsd:simpleType>
        <xsd:restriction base="dms:Number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a6f3f-dacb-4891-8336-b3d796b1c6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a384571-0936-4900-b13c-3550bf5ce5ae}" ma:internalName="TaxCatchAll" ma:showField="CatchAllData" ma:web="dd1a6f3f-dacb-4891-8336-b3d796b1c6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4e0d7ac-7319-4120-901c-24b0658cc978" xsi:nil="true"/>
    <lcf76f155ced4ddcb4097134ff3c332f xmlns="b4e0d7ac-7319-4120-901c-24b0658cc978">
      <Terms xmlns="http://schemas.microsoft.com/office/infopath/2007/PartnerControls"/>
    </lcf76f155ced4ddcb4097134ff3c332f>
    <TaxCatchAll xmlns="dd1a6f3f-dacb-4891-8336-b3d796b1c666" xsi:nil="true"/>
    <number xmlns="b4e0d7ac-7319-4120-901c-24b0658cc978">1</numb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2D74ED-D2F0-4991-9579-BDAEA59954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e0d7ac-7319-4120-901c-24b0658cc978"/>
    <ds:schemaRef ds:uri="dd1a6f3f-dacb-4891-8336-b3d796b1c6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DEBA48-0FB5-463D-96F9-03D499D08368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dd1a6f3f-dacb-4891-8336-b3d796b1c666"/>
    <ds:schemaRef ds:uri="b4e0d7ac-7319-4120-901c-24b0658cc97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B7AA12-908F-4713-B71C-07EBBE37D5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ROI Calc</vt:lpstr>
      <vt:lpstr>Corporate Benefits</vt:lpstr>
      <vt:lpstr>Cost Comparison By Product Type</vt:lpstr>
      <vt:lpstr>Payoff </vt:lpstr>
      <vt:lpstr>Sheet4</vt:lpstr>
      <vt:lpstr>Industry Related Tables</vt:lpstr>
      <vt:lpstr>Lookup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Flinn</dc:creator>
  <cp:keywords/>
  <dc:description/>
  <cp:lastModifiedBy>Randy Kimberlin</cp:lastModifiedBy>
  <cp:revision/>
  <cp:lastPrinted>2026-01-16T16:00:10Z</cp:lastPrinted>
  <dcterms:created xsi:type="dcterms:W3CDTF">2024-10-08T23:17:00Z</dcterms:created>
  <dcterms:modified xsi:type="dcterms:W3CDTF">2026-03-31T12:13:36Z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0x0101003A459109788AD043927A2DA5FFBCF041</vt:lpwstr>
  </property>
  <property fmtid="{D5CDD505-2E9C-101B-9397-08002B2CF9AE}" pid="3" name="MediaServiceImageTags">
    <vt:lpwstr/>
  </property>
</Properties>
</file>